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omments7.xml" ContentType="application/vnd.openxmlformats-officedocument.spreadsheetml.comments+xml"/>
  <Override PartName="/xl/comments5.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4.xml" ContentType="application/vnd.openxmlformats-officedocument.spreadsheetml.comments+xml"/>
  <Override PartName="/xl/comments10.xml" ContentType="application/vnd.openxmlformats-officedocument.spreadsheetml.comments+xml"/>
  <Override PartName="/xl/comments6.xml" ContentType="application/vnd.openxmlformats-officedocument.spreadsheetml.comments+xml"/>
  <Override PartName="/xl/comments11.xml" ContentType="application/vnd.openxmlformats-officedocument.spreadsheetml.comment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1C02B623-F62A-4193-8293-777C93E45B8E}"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15" yWindow="0" windowWidth="25695" windowHeight="11625" tabRatio="935" firstSheet="6"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Identification'!$A$2:$S$43</definedName>
    <definedName name="_xlnm.Print_Area" localSheetId="8">'Part IV-Utility Allowances'!$A$1:$M$46</definedName>
    <definedName name="_xlnm.Print_Area" localSheetId="14">'Part IX - Applicant Cert Ltr'!$A$1:$M$41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s="1"/>
  <c r="P141" i="112"/>
  <c r="O141" i="112"/>
  <c r="C63" i="111" l="1"/>
  <c r="D63" i="111" s="1"/>
  <c r="E63" i="111" s="1"/>
  <c r="F63" i="111" s="1"/>
  <c r="B63" i="111"/>
  <c r="C31" i="111"/>
  <c r="D31" i="111"/>
  <c r="E31" i="111"/>
  <c r="F31" i="111" s="1"/>
  <c r="G31" i="111" s="1"/>
  <c r="H31" i="111" s="1"/>
  <c r="I31" i="111" s="1"/>
  <c r="J31" i="111" s="1"/>
  <c r="K31" i="111" s="1"/>
  <c r="L41" i="106" l="1"/>
  <c r="M76" i="112"/>
  <c r="L19" i="120"/>
  <c r="K19" i="120"/>
  <c r="J19" i="120"/>
  <c r="S55" i="107"/>
  <c r="J40" i="107"/>
  <c r="S40" i="107" s="1"/>
  <c r="S39" i="107"/>
  <c r="S38" i="107"/>
  <c r="S97" i="107"/>
  <c r="S106" i="107"/>
  <c r="S107" i="107"/>
  <c r="S108" i="107"/>
  <c r="S109" i="107"/>
  <c r="S110" i="107"/>
  <c r="S111" i="107"/>
  <c r="S112" i="107"/>
  <c r="S113" i="107"/>
  <c r="S105" i="107"/>
  <c r="S130" i="107"/>
  <c r="S131" i="107"/>
  <c r="S132" i="107"/>
  <c r="S129" i="107"/>
  <c r="F123" i="107"/>
  <c r="J122" i="107"/>
  <c r="G126" i="107"/>
  <c r="J126" i="107" s="1"/>
  <c r="S64" i="107"/>
  <c r="J71" i="107"/>
  <c r="G71" i="107"/>
  <c r="J65" i="107"/>
  <c r="J63" i="107"/>
  <c r="G107" i="107"/>
  <c r="S69" i="107"/>
  <c r="S82" i="107"/>
  <c r="G82" i="107"/>
  <c r="J66" i="107"/>
  <c r="S118" i="107"/>
  <c r="J88" i="107"/>
  <c r="J89" i="107"/>
  <c r="J90" i="107"/>
  <c r="J91" i="107"/>
  <c r="G89" i="107"/>
  <c r="J68" i="107"/>
  <c r="J67" i="107"/>
  <c r="J9" i="107"/>
  <c r="J10" i="107"/>
  <c r="J133" i="107"/>
  <c r="J83" i="107"/>
  <c r="J84" i="107"/>
  <c r="G84" i="107"/>
  <c r="J79" i="107"/>
  <c r="J81" i="107"/>
  <c r="G81" i="107"/>
  <c r="J77" i="107"/>
  <c r="J78" i="107"/>
  <c r="J12" i="107"/>
  <c r="G76" i="107"/>
  <c r="J76" i="107" s="1"/>
  <c r="J75" i="107"/>
  <c r="J32" i="107"/>
  <c r="J30" i="107"/>
  <c r="J26" i="107"/>
  <c r="S27" i="107"/>
  <c r="S20" i="107"/>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KW452" i="121" s="1"/>
  <c r="N453" i="121"/>
  <c r="O453" i="121"/>
  <c r="P453" i="121"/>
  <c r="ML453" i="121" s="1"/>
  <c r="Q453" i="121"/>
  <c r="N454" i="121"/>
  <c r="O454" i="121"/>
  <c r="P454" i="121"/>
  <c r="Q454" i="121"/>
  <c r="N455" i="121"/>
  <c r="O455" i="121"/>
  <c r="P455" i="121"/>
  <c r="Q455" i="121"/>
  <c r="N456" i="121"/>
  <c r="O456" i="121"/>
  <c r="P456" i="121"/>
  <c r="MO456" i="121" s="1"/>
  <c r="Q456" i="121"/>
  <c r="KB456" i="121" s="1"/>
  <c r="N457" i="121"/>
  <c r="O457" i="121"/>
  <c r="P457" i="121"/>
  <c r="MN457" i="121" s="1"/>
  <c r="Q457" i="121"/>
  <c r="N458" i="121"/>
  <c r="O458" i="121"/>
  <c r="P458" i="121"/>
  <c r="GM458" i="121" s="1"/>
  <c r="Q458" i="121"/>
  <c r="JD458" i="121" s="1"/>
  <c r="N459" i="121"/>
  <c r="O459" i="121"/>
  <c r="P459" i="121"/>
  <c r="HF459" i="121" s="1"/>
  <c r="Q459" i="121"/>
  <c r="N460" i="121"/>
  <c r="O460" i="121"/>
  <c r="P460" i="121"/>
  <c r="MO460" i="121" s="1"/>
  <c r="Q460" i="121"/>
  <c r="JA460" i="121" s="1"/>
  <c r="N461" i="121"/>
  <c r="O461" i="121"/>
  <c r="P461" i="121"/>
  <c r="MM461" i="121" s="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MJ450" i="121" s="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I456" i="121"/>
  <c r="C457" i="121"/>
  <c r="D457" i="121"/>
  <c r="E457" i="121"/>
  <c r="F457" i="121"/>
  <c r="G457" i="121"/>
  <c r="I457" i="121"/>
  <c r="C458" i="121"/>
  <c r="D458" i="121"/>
  <c r="E458" i="121"/>
  <c r="F458" i="121"/>
  <c r="G458" i="121"/>
  <c r="I458" i="121"/>
  <c r="C459" i="121"/>
  <c r="D459" i="121"/>
  <c r="E459" i="121"/>
  <c r="F459" i="121"/>
  <c r="G459" i="121"/>
  <c r="I459" i="121"/>
  <c r="C460" i="121"/>
  <c r="D460" i="121"/>
  <c r="E460" i="121"/>
  <c r="F460" i="121"/>
  <c r="G460" i="121"/>
  <c r="I460" i="121"/>
  <c r="C461" i="121"/>
  <c r="D461" i="121"/>
  <c r="E461" i="121"/>
  <c r="F461" i="121"/>
  <c r="G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B457" i="121"/>
  <c r="B458" i="121"/>
  <c r="B459" i="121"/>
  <c r="B460" i="121"/>
  <c r="B461" i="121"/>
  <c r="LJ461" i="121" s="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M299" i="121" s="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A181" i="121" s="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K461" i="121"/>
  <c r="LR461" i="121"/>
  <c r="KZ461" i="121"/>
  <c r="KR461" i="121"/>
  <c r="KJ461" i="121"/>
  <c r="KB461" i="121"/>
  <c r="JT461" i="121"/>
  <c r="JL461" i="121"/>
  <c r="JD461" i="121"/>
  <c r="IV461" i="121"/>
  <c r="IN461" i="121"/>
  <c r="IF461" i="121"/>
  <c r="ID461" i="121"/>
  <c r="IC461" i="121"/>
  <c r="IB461" i="121"/>
  <c r="IA461" i="121"/>
  <c r="HZ461" i="121"/>
  <c r="GG461" i="121"/>
  <c r="GF461" i="121"/>
  <c r="GE461" i="121"/>
  <c r="GD461" i="121"/>
  <c r="GC461" i="121"/>
  <c r="GB461" i="121"/>
  <c r="GA461" i="121"/>
  <c r="FZ461" i="121"/>
  <c r="FY461" i="121"/>
  <c r="FX461" i="121"/>
  <c r="FW461" i="121"/>
  <c r="FA461" i="121"/>
  <c r="EH461" i="121"/>
  <c r="EG461" i="121"/>
  <c r="EF461" i="121"/>
  <c r="EE461" i="121"/>
  <c r="ED461" i="121"/>
  <c r="DE461" i="121"/>
  <c r="BY461" i="121"/>
  <c r="AS461" i="121"/>
  <c r="MT460" i="121"/>
  <c r="ML460" i="121"/>
  <c r="MC460" i="121"/>
  <c r="LM460" i="121"/>
  <c r="LL460" i="121"/>
  <c r="KG460" i="121"/>
  <c r="JY460" i="121"/>
  <c r="JI460" i="121"/>
  <c r="ID460" i="121"/>
  <c r="IC460" i="121"/>
  <c r="IB460" i="121"/>
  <c r="IA460" i="121"/>
  <c r="HZ460" i="121"/>
  <c r="HW460" i="121"/>
  <c r="HN460" i="121"/>
  <c r="GQ460" i="121"/>
  <c r="GH460" i="121"/>
  <c r="GF460" i="121"/>
  <c r="GE460" i="121"/>
  <c r="GD460" i="121"/>
  <c r="GC460" i="121"/>
  <c r="GB460" i="121"/>
  <c r="GA460" i="121"/>
  <c r="FZ460" i="121"/>
  <c r="FY460" i="121"/>
  <c r="FX460" i="121"/>
  <c r="FW460" i="121"/>
  <c r="FS460" i="121"/>
  <c r="FR460" i="121"/>
  <c r="FK460" i="121"/>
  <c r="FJ460" i="121"/>
  <c r="FC460" i="121"/>
  <c r="FB460" i="121"/>
  <c r="EU460" i="121"/>
  <c r="ET460" i="121"/>
  <c r="EM460" i="121"/>
  <c r="EL460" i="121"/>
  <c r="EH460" i="121"/>
  <c r="EG460" i="121"/>
  <c r="EF460" i="121"/>
  <c r="EE460" i="121"/>
  <c r="ED460" i="121"/>
  <c r="DW460" i="121"/>
  <c r="DV460" i="121"/>
  <c r="DO460" i="121"/>
  <c r="DN460" i="121"/>
  <c r="DG460" i="121"/>
  <c r="DF460" i="121"/>
  <c r="CY460" i="121"/>
  <c r="CX460" i="121"/>
  <c r="CQ460" i="121"/>
  <c r="CP460" i="121"/>
  <c r="CI460" i="121"/>
  <c r="CH460" i="121"/>
  <c r="CA460" i="121"/>
  <c r="BZ460" i="121"/>
  <c r="BS460" i="121"/>
  <c r="BR460" i="121"/>
  <c r="BK460" i="121"/>
  <c r="BJ460" i="121"/>
  <c r="BC460" i="121"/>
  <c r="BB460" i="121"/>
  <c r="AU460" i="121"/>
  <c r="AT460" i="121"/>
  <c r="AM460" i="121"/>
  <c r="AL460" i="121"/>
  <c r="AE460" i="121"/>
  <c r="AD460" i="121"/>
  <c r="MO459" i="121"/>
  <c r="MN459" i="121"/>
  <c r="MF459" i="121"/>
  <c r="ME459" i="121"/>
  <c r="LO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V459" i="121"/>
  <c r="GP459" i="121"/>
  <c r="GH459" i="121"/>
  <c r="GF459" i="121"/>
  <c r="GE459" i="121"/>
  <c r="GD459" i="121"/>
  <c r="GC459" i="121"/>
  <c r="GB459" i="121"/>
  <c r="GA459" i="121"/>
  <c r="FZ459" i="121"/>
  <c r="FY459" i="121"/>
  <c r="FX459" i="121"/>
  <c r="FW459" i="121"/>
  <c r="FR459" i="121"/>
  <c r="FJ459" i="121"/>
  <c r="FB459" i="121"/>
  <c r="ET459" i="121"/>
  <c r="EL459" i="121"/>
  <c r="EH459" i="121"/>
  <c r="EG459" i="121"/>
  <c r="EF459" i="121"/>
  <c r="EE459" i="121"/>
  <c r="ED459" i="121"/>
  <c r="DV459" i="121"/>
  <c r="DN459" i="121"/>
  <c r="DF459" i="121"/>
  <c r="CX459" i="121"/>
  <c r="CP459" i="121"/>
  <c r="CH459" i="121"/>
  <c r="BZ459" i="121"/>
  <c r="BR459" i="121"/>
  <c r="BJ459" i="121"/>
  <c r="BB459" i="121"/>
  <c r="AT459" i="121"/>
  <c r="AL459" i="121"/>
  <c r="AD459" i="121"/>
  <c r="MB458" i="121"/>
  <c r="LL458" i="121"/>
  <c r="KU458" i="121"/>
  <c r="IA458" i="121"/>
  <c r="HC458" i="121"/>
  <c r="GE458" i="121"/>
  <c r="FW458" i="121"/>
  <c r="FO458" i="121"/>
  <c r="FG458" i="121"/>
  <c r="EY458" i="121"/>
  <c r="EQ458" i="121"/>
  <c r="EI458" i="121"/>
  <c r="EA458" i="121"/>
  <c r="DS458" i="121"/>
  <c r="DK458" i="121"/>
  <c r="DC458" i="121"/>
  <c r="CU458" i="121"/>
  <c r="CM458" i="121"/>
  <c r="CE458" i="121"/>
  <c r="BW458" i="121"/>
  <c r="BO458" i="121"/>
  <c r="BG458" i="121"/>
  <c r="AY458" i="121"/>
  <c r="AQ458" i="121"/>
  <c r="AI458" i="121"/>
  <c r="AA458" i="121"/>
  <c r="MT457" i="121"/>
  <c r="MK457" i="121"/>
  <c r="LY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I457" i="121"/>
  <c r="GW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LR456" i="121"/>
  <c r="LP456" i="121"/>
  <c r="LO456" i="121"/>
  <c r="LN456" i="121"/>
  <c r="LM456" i="121"/>
  <c r="LL456" i="121"/>
  <c r="LK456" i="121"/>
  <c r="LJ456" i="121"/>
  <c r="LI456" i="121"/>
  <c r="LH456" i="121"/>
  <c r="LG456" i="121"/>
  <c r="IQ456" i="121"/>
  <c r="ID456" i="121"/>
  <c r="IC456" i="121"/>
  <c r="IB456" i="121"/>
  <c r="IA456" i="121"/>
  <c r="HZ456" i="121"/>
  <c r="HR456" i="121"/>
  <c r="HI456" i="121"/>
  <c r="GL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M452" i="121"/>
  <c r="MK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KX452" i="121"/>
  <c r="JF452" i="121"/>
  <c r="IB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ML451" i="121"/>
  <c r="MK451" i="121"/>
  <c r="MA451" i="121"/>
  <c r="LZ451" i="121"/>
  <c r="LS451" i="121"/>
  <c r="LR451" i="121"/>
  <c r="LK451" i="121"/>
  <c r="LJ451" i="121"/>
  <c r="KY451" i="121"/>
  <c r="KX451" i="121"/>
  <c r="KI451" i="121"/>
  <c r="KH451" i="121"/>
  <c r="JR451" i="121"/>
  <c r="IM451" i="121"/>
  <c r="IL451" i="121"/>
  <c r="IA451" i="121"/>
  <c r="HZ451" i="121"/>
  <c r="HS451" i="121"/>
  <c r="HR451" i="121"/>
  <c r="HK451" i="121"/>
  <c r="HJ451" i="121"/>
  <c r="HC451" i="121"/>
  <c r="HB451" i="121"/>
  <c r="GU451" i="121"/>
  <c r="GT451" i="121"/>
  <c r="GM451" i="121"/>
  <c r="GL451" i="121"/>
  <c r="GE451" i="121"/>
  <c r="GD451" i="121"/>
  <c r="FW451" i="121"/>
  <c r="FV451" i="121"/>
  <c r="FO451" i="121"/>
  <c r="FN451" i="121"/>
  <c r="FG451" i="121"/>
  <c r="FF451" i="121"/>
  <c r="EY451" i="121"/>
  <c r="EX451" i="121"/>
  <c r="EQ451" i="121"/>
  <c r="EP451" i="121"/>
  <c r="EI451" i="121"/>
  <c r="EH451" i="121"/>
  <c r="EA451" i="121"/>
  <c r="DZ451" i="121"/>
  <c r="DS451" i="121"/>
  <c r="DR451" i="121"/>
  <c r="DK451" i="121"/>
  <c r="DJ451" i="121"/>
  <c r="DC451" i="121"/>
  <c r="DB451" i="121"/>
  <c r="CU451" i="121"/>
  <c r="CT451" i="121"/>
  <c r="CM451" i="121"/>
  <c r="CL451" i="121"/>
  <c r="CE451" i="121"/>
  <c r="CD451" i="121"/>
  <c r="BW451" i="121"/>
  <c r="BV451" i="121"/>
  <c r="BO451" i="121"/>
  <c r="BN451" i="121"/>
  <c r="BG451" i="121"/>
  <c r="BF451" i="121"/>
  <c r="AY451" i="121"/>
  <c r="AX451" i="121"/>
  <c r="AQ451" i="121"/>
  <c r="AP451" i="121"/>
  <c r="AI451" i="121"/>
  <c r="AH451" i="121"/>
  <c r="AA451" i="121"/>
  <c r="Z451" i="121"/>
  <c r="MN450" i="121"/>
  <c r="MM450" i="121"/>
  <c r="MK450" i="121"/>
  <c r="MD450" i="121"/>
  <c r="MC450" i="121"/>
  <c r="MA450" i="121"/>
  <c r="LV450" i="121"/>
  <c r="LU450" i="121"/>
  <c r="LS450" i="121"/>
  <c r="LN450" i="121"/>
  <c r="LM450" i="121"/>
  <c r="LK450" i="121"/>
  <c r="LD450" i="121"/>
  <c r="LC450" i="121"/>
  <c r="KY450" i="121"/>
  <c r="KN450" i="121"/>
  <c r="KM450" i="121"/>
  <c r="KI450" i="121"/>
  <c r="JX450" i="121"/>
  <c r="JW450" i="121"/>
  <c r="JS450" i="121"/>
  <c r="JH450" i="121"/>
  <c r="JG450" i="121"/>
  <c r="JC450" i="121"/>
  <c r="IR450" i="121"/>
  <c r="IQ450" i="121"/>
  <c r="IM450" i="121"/>
  <c r="ID450" i="121"/>
  <c r="IC450" i="121"/>
  <c r="IA450" i="121"/>
  <c r="HV450" i="121"/>
  <c r="HU450" i="121"/>
  <c r="HS450" i="121"/>
  <c r="HN450" i="121"/>
  <c r="HM450" i="121"/>
  <c r="HK450" i="121"/>
  <c r="HF450" i="121"/>
  <c r="HE450" i="121"/>
  <c r="HC450" i="121"/>
  <c r="GX450" i="121"/>
  <c r="GW450" i="121"/>
  <c r="GU450" i="121"/>
  <c r="GP450" i="121"/>
  <c r="GO450" i="121"/>
  <c r="GM450" i="121"/>
  <c r="GH450" i="121"/>
  <c r="GG450" i="121"/>
  <c r="GE450" i="121"/>
  <c r="FZ450" i="121"/>
  <c r="FY450" i="121"/>
  <c r="FW450" i="121"/>
  <c r="FR450" i="121"/>
  <c r="FQ450" i="121"/>
  <c r="FO450" i="121"/>
  <c r="FJ450" i="121"/>
  <c r="FI450" i="121"/>
  <c r="FG450" i="121"/>
  <c r="FB450" i="121"/>
  <c r="FA450" i="121"/>
  <c r="EY450" i="121"/>
  <c r="ET450" i="121"/>
  <c r="ES450" i="121"/>
  <c r="EQ450" i="121"/>
  <c r="EL450" i="121"/>
  <c r="EK450" i="121"/>
  <c r="EI450" i="121"/>
  <c r="ED450" i="121"/>
  <c r="EC450" i="121"/>
  <c r="EA450" i="121"/>
  <c r="DV450" i="121"/>
  <c r="DU450" i="121"/>
  <c r="DS450" i="121"/>
  <c r="DN450" i="121"/>
  <c r="DM450" i="121"/>
  <c r="DK450" i="121"/>
  <c r="DF450" i="121"/>
  <c r="DE450" i="121"/>
  <c r="DC450" i="121"/>
  <c r="CX450" i="121"/>
  <c r="CW450" i="121"/>
  <c r="CU450" i="121"/>
  <c r="CP450" i="121"/>
  <c r="CO450" i="121"/>
  <c r="CM450" i="121"/>
  <c r="CH450" i="121"/>
  <c r="CG450" i="121"/>
  <c r="CE450" i="121"/>
  <c r="BZ450" i="121"/>
  <c r="BY450" i="121"/>
  <c r="BW450" i="121"/>
  <c r="BR450" i="121"/>
  <c r="BQ450" i="121"/>
  <c r="BO450" i="121"/>
  <c r="BJ450" i="121"/>
  <c r="BI450" i="121"/>
  <c r="BG450" i="121"/>
  <c r="BB450" i="121"/>
  <c r="BA450" i="121"/>
  <c r="AY450" i="121"/>
  <c r="AT450" i="121"/>
  <c r="AS450" i="121"/>
  <c r="AQ450" i="121"/>
  <c r="AL450" i="121"/>
  <c r="AK450" i="121"/>
  <c r="AI450" i="121"/>
  <c r="AD450" i="121"/>
  <c r="AC450" i="121"/>
  <c r="AA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J292" i="121"/>
  <c r="N289" i="121"/>
  <c r="J289"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O170" i="121"/>
  <c r="O164" i="121"/>
  <c r="O155"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J301" i="121" l="1"/>
  <c r="E218" i="121" s="1"/>
  <c r="Q1213" i="121"/>
  <c r="L683" i="121"/>
  <c r="JR452" i="121"/>
  <c r="MS452" i="121"/>
  <c r="LB452" i="121"/>
  <c r="IK452" i="121"/>
  <c r="JV452" i="121"/>
  <c r="MH452" i="121"/>
  <c r="JQ452" i="121"/>
  <c r="IL452" i="121"/>
  <c r="KG452" i="121"/>
  <c r="IP452" i="121"/>
  <c r="KH452" i="121"/>
  <c r="JA452" i="121"/>
  <c r="KL452" i="121"/>
  <c r="MT452" i="121"/>
  <c r="JB452" i="121"/>
  <c r="JS451" i="121"/>
  <c r="L451" i="121"/>
  <c r="M451" i="121" s="1"/>
  <c r="GG453" i="121"/>
  <c r="GS453" i="121"/>
  <c r="HY453" i="121"/>
  <c r="LQ453" i="121"/>
  <c r="MM453" i="121"/>
  <c r="GW453" i="121"/>
  <c r="LU453" i="121"/>
  <c r="MN453" i="121"/>
  <c r="MB453" i="121"/>
  <c r="HA453" i="121"/>
  <c r="LY453" i="121"/>
  <c r="HE453" i="121"/>
  <c r="MC453" i="121"/>
  <c r="MO453" i="121"/>
  <c r="HI453" i="121"/>
  <c r="MH453" i="121"/>
  <c r="HM453" i="121"/>
  <c r="GK453" i="121"/>
  <c r="HQ453" i="121"/>
  <c r="MK453" i="121"/>
  <c r="MI453" i="121"/>
  <c r="GO453" i="121"/>
  <c r="HU453" i="121"/>
  <c r="IA452" i="121"/>
  <c r="IO452" i="121"/>
  <c r="JE452" i="121"/>
  <c r="JU452" i="121"/>
  <c r="KK452" i="121"/>
  <c r="LA452" i="121"/>
  <c r="ML452" i="121"/>
  <c r="IC452" i="121"/>
  <c r="IS452" i="121"/>
  <c r="JI452" i="121"/>
  <c r="JY452" i="121"/>
  <c r="KO452" i="121"/>
  <c r="LE452" i="121"/>
  <c r="MN452" i="121"/>
  <c r="A452" i="121"/>
  <c r="ID452" i="121"/>
  <c r="IT452" i="121"/>
  <c r="JJ452" i="121"/>
  <c r="JZ452" i="121"/>
  <c r="KP452" i="121"/>
  <c r="LF452" i="121"/>
  <c r="MO452" i="121"/>
  <c r="IG452" i="121"/>
  <c r="IW452" i="121"/>
  <c r="JM452" i="121"/>
  <c r="KC452" i="121"/>
  <c r="KS452" i="121"/>
  <c r="MP452" i="121"/>
  <c r="IH452" i="121"/>
  <c r="IX452" i="121"/>
  <c r="JN452" i="121"/>
  <c r="KD452" i="121"/>
  <c r="KT452" i="121"/>
  <c r="MG452" i="121"/>
  <c r="MT451" i="121"/>
  <c r="JB451" i="121"/>
  <c r="JC451" i="121"/>
  <c r="JQ460" i="121"/>
  <c r="KG456" i="121"/>
  <c r="KO460" i="121"/>
  <c r="IK460" i="121"/>
  <c r="KW460" i="121"/>
  <c r="IS460" i="121"/>
  <c r="LE460" i="121"/>
  <c r="KR456" i="121"/>
  <c r="IV456" i="121"/>
  <c r="KM456" i="121"/>
  <c r="JA456" i="121"/>
  <c r="JG456" i="121"/>
  <c r="KW456" i="121"/>
  <c r="JQ456" i="121"/>
  <c r="JL456" i="121"/>
  <c r="LC456" i="121"/>
  <c r="IF456" i="121"/>
  <c r="JW456" i="121"/>
  <c r="IK456" i="121"/>
  <c r="GG457" i="121"/>
  <c r="MM460" i="121"/>
  <c r="MB457" i="121"/>
  <c r="HB456" i="121"/>
  <c r="GS457" i="121"/>
  <c r="HY457" i="121"/>
  <c r="LU457" i="121"/>
  <c r="MO457" i="121"/>
  <c r="GU458" i="121"/>
  <c r="LT458" i="121"/>
  <c r="HN459" i="121"/>
  <c r="LW459" i="121"/>
  <c r="HG460" i="121"/>
  <c r="MB460" i="121"/>
  <c r="MN461" i="121"/>
  <c r="HJ456" i="121"/>
  <c r="HA457" i="121"/>
  <c r="MC457" i="121"/>
  <c r="HK458" i="121"/>
  <c r="MN458" i="121"/>
  <c r="GI460" i="121"/>
  <c r="HO460" i="121"/>
  <c r="MH460" i="121"/>
  <c r="MA460" i="121"/>
  <c r="GK456" i="121"/>
  <c r="HQ456" i="121"/>
  <c r="HE457" i="121"/>
  <c r="MF457" i="121"/>
  <c r="HS458" i="121"/>
  <c r="MK459" i="121"/>
  <c r="GP460" i="121"/>
  <c r="HV460" i="121"/>
  <c r="MK460" i="121"/>
  <c r="MB459" i="121"/>
  <c r="HY456" i="121"/>
  <c r="ML457" i="121"/>
  <c r="GT456" i="121"/>
  <c r="LZ456" i="121"/>
  <c r="GK457" i="121"/>
  <c r="HQ457" i="121"/>
  <c r="MM457" i="121"/>
  <c r="GX459" i="121"/>
  <c r="GY460" i="121"/>
  <c r="LT460" i="121"/>
  <c r="MN460" i="121"/>
  <c r="ML461" i="121"/>
  <c r="MM459" i="121"/>
  <c r="GS456" i="121"/>
  <c r="LS456" i="121"/>
  <c r="HM457" i="121"/>
  <c r="GX460" i="121"/>
  <c r="HA456" i="121"/>
  <c r="MA456" i="121"/>
  <c r="GO457" i="121"/>
  <c r="HU457" i="121"/>
  <c r="LQ457" i="121"/>
  <c r="HF460" i="121"/>
  <c r="LU460" i="121"/>
  <c r="GM456" i="121"/>
  <c r="GU456" i="121"/>
  <c r="HC456" i="121"/>
  <c r="HK456" i="121"/>
  <c r="HS456" i="121"/>
  <c r="LT456" i="121"/>
  <c r="MB456" i="121"/>
  <c r="GN456" i="121"/>
  <c r="GV456" i="121"/>
  <c r="HD456" i="121"/>
  <c r="HL456" i="121"/>
  <c r="HT456" i="121"/>
  <c r="LU456" i="121"/>
  <c r="MC456" i="121"/>
  <c r="MM456" i="121"/>
  <c r="GW456" i="121"/>
  <c r="LV456" i="121"/>
  <c r="GH456" i="121"/>
  <c r="GP456" i="121"/>
  <c r="GX456" i="121"/>
  <c r="HF456" i="121"/>
  <c r="HN456" i="121"/>
  <c r="HV456" i="121"/>
  <c r="LW456" i="121"/>
  <c r="ME456" i="121"/>
  <c r="GO456" i="121"/>
  <c r="HM456" i="121"/>
  <c r="HU456" i="121"/>
  <c r="GI456" i="121"/>
  <c r="GQ456" i="121"/>
  <c r="GY456" i="121"/>
  <c r="HG456" i="121"/>
  <c r="HO456" i="121"/>
  <c r="HW456" i="121"/>
  <c r="LX456" i="121"/>
  <c r="MN456" i="121"/>
  <c r="GG456" i="121"/>
  <c r="HE456" i="121"/>
  <c r="MD456" i="121"/>
  <c r="GJ456" i="121"/>
  <c r="GR456" i="121"/>
  <c r="GZ456" i="121"/>
  <c r="HH456" i="121"/>
  <c r="HP456" i="121"/>
  <c r="HX456" i="121"/>
  <c r="LQ456" i="121"/>
  <c r="LY456" i="121"/>
  <c r="K412" i="121"/>
  <c r="J412" i="121"/>
  <c r="MT459" i="121"/>
  <c r="ML459" i="121"/>
  <c r="MM458" i="121"/>
  <c r="MF456" i="121"/>
  <c r="B488" i="121"/>
  <c r="AN456" i="121"/>
  <c r="MK456" i="121"/>
  <c r="ML456" i="121"/>
  <c r="DI461" i="121"/>
  <c r="GK461" i="121"/>
  <c r="FI461" i="121"/>
  <c r="Y461" i="121"/>
  <c r="BE461" i="121"/>
  <c r="CK461" i="121"/>
  <c r="DQ461" i="121"/>
  <c r="FM461" i="121"/>
  <c r="GS461" i="121"/>
  <c r="AC461" i="121"/>
  <c r="BI461" i="121"/>
  <c r="CO461" i="121"/>
  <c r="DU461" i="121"/>
  <c r="EK461" i="121"/>
  <c r="FQ461" i="121"/>
  <c r="GX461" i="121"/>
  <c r="DM461" i="121"/>
  <c r="AG461" i="121"/>
  <c r="BM461" i="121"/>
  <c r="CS461" i="121"/>
  <c r="DY461" i="121"/>
  <c r="EO461" i="121"/>
  <c r="FU461" i="121"/>
  <c r="HF461" i="121"/>
  <c r="CC461" i="121"/>
  <c r="LZ461" i="121"/>
  <c r="CG461" i="121"/>
  <c r="AK461" i="121"/>
  <c r="BQ461" i="121"/>
  <c r="CW461" i="121"/>
  <c r="EC461" i="121"/>
  <c r="ES461" i="121"/>
  <c r="HN461" i="121"/>
  <c r="AW461" i="121"/>
  <c r="FE461" i="121"/>
  <c r="BA461" i="121"/>
  <c r="GO461" i="121"/>
  <c r="AO461" i="121"/>
  <c r="BU461" i="121"/>
  <c r="DA461" i="121"/>
  <c r="EW461" i="121"/>
  <c r="HV461" i="121"/>
  <c r="Y460" i="121"/>
  <c r="AG460" i="121"/>
  <c r="AO460" i="121"/>
  <c r="AW460" i="121"/>
  <c r="BE460" i="121"/>
  <c r="BM460" i="121"/>
  <c r="BU460" i="121"/>
  <c r="CC460" i="121"/>
  <c r="CK460" i="121"/>
  <c r="CS460" i="121"/>
  <c r="DA460" i="121"/>
  <c r="DI460" i="121"/>
  <c r="DQ460" i="121"/>
  <c r="DY460" i="121"/>
  <c r="EO460" i="121"/>
  <c r="EW460" i="121"/>
  <c r="FE460" i="121"/>
  <c r="FM460" i="121"/>
  <c r="FU460" i="121"/>
  <c r="GK460" i="121"/>
  <c r="GS460" i="121"/>
  <c r="HA460" i="121"/>
  <c r="HI460" i="121"/>
  <c r="HQ460" i="121"/>
  <c r="HY460" i="121"/>
  <c r="LG460" i="121"/>
  <c r="LO460" i="121"/>
  <c r="LW460" i="121"/>
  <c r="ME460" i="121"/>
  <c r="AN460" i="121"/>
  <c r="CB460" i="121"/>
  <c r="DH460" i="121"/>
  <c r="EV460" i="121"/>
  <c r="GJ460" i="121"/>
  <c r="GZ460" i="121"/>
  <c r="LN460" i="121"/>
  <c r="Z460" i="121"/>
  <c r="AH460" i="121"/>
  <c r="AP460" i="121"/>
  <c r="AX460" i="121"/>
  <c r="BF460" i="121"/>
  <c r="BN460" i="121"/>
  <c r="BV460" i="121"/>
  <c r="CD460" i="121"/>
  <c r="CL460" i="121"/>
  <c r="CT460" i="121"/>
  <c r="DB460" i="121"/>
  <c r="DJ460" i="121"/>
  <c r="DR460" i="121"/>
  <c r="DZ460" i="121"/>
  <c r="EP460" i="121"/>
  <c r="EX460" i="121"/>
  <c r="FF460" i="121"/>
  <c r="FN460" i="121"/>
  <c r="FV460" i="121"/>
  <c r="GL460" i="121"/>
  <c r="GT460" i="121"/>
  <c r="HB460" i="121"/>
  <c r="HJ460" i="121"/>
  <c r="HR460" i="121"/>
  <c r="LH460" i="121"/>
  <c r="LP460" i="121"/>
  <c r="LX460" i="121"/>
  <c r="X460" i="121"/>
  <c r="BD460" i="121"/>
  <c r="CJ460" i="121"/>
  <c r="DP460" i="121"/>
  <c r="FL460" i="121"/>
  <c r="HP460" i="121"/>
  <c r="LV460" i="121"/>
  <c r="AA460" i="121"/>
  <c r="AI460" i="121"/>
  <c r="AQ460" i="121"/>
  <c r="AY460" i="121"/>
  <c r="BG460" i="121"/>
  <c r="BO460" i="121"/>
  <c r="BW460" i="121"/>
  <c r="CE460" i="121"/>
  <c r="CM460" i="121"/>
  <c r="CU460" i="121"/>
  <c r="DC460" i="121"/>
  <c r="DK460" i="121"/>
  <c r="DS460" i="121"/>
  <c r="EA460" i="121"/>
  <c r="EI460" i="121"/>
  <c r="EQ460" i="121"/>
  <c r="EY460" i="121"/>
  <c r="FG460" i="121"/>
  <c r="FO460" i="121"/>
  <c r="GM460" i="121"/>
  <c r="GU460" i="121"/>
  <c r="HC460" i="121"/>
  <c r="HK460" i="121"/>
  <c r="HS460" i="121"/>
  <c r="LI460" i="121"/>
  <c r="LQ460" i="121"/>
  <c r="LY460" i="121"/>
  <c r="BL460" i="121"/>
  <c r="CR460" i="121"/>
  <c r="DX460" i="121"/>
  <c r="FD460" i="121"/>
  <c r="HX460" i="121"/>
  <c r="AB460" i="121"/>
  <c r="AJ460" i="121"/>
  <c r="AR460" i="121"/>
  <c r="AZ460" i="121"/>
  <c r="BH460" i="121"/>
  <c r="BP460" i="121"/>
  <c r="BX460" i="121"/>
  <c r="CF460" i="121"/>
  <c r="CN460" i="121"/>
  <c r="CV460" i="121"/>
  <c r="DD460" i="121"/>
  <c r="DL460" i="121"/>
  <c r="DT460" i="121"/>
  <c r="EB460" i="121"/>
  <c r="EJ460" i="121"/>
  <c r="ER460" i="121"/>
  <c r="EZ460" i="121"/>
  <c r="FH460" i="121"/>
  <c r="FP460" i="121"/>
  <c r="GN460" i="121"/>
  <c r="GV460" i="121"/>
  <c r="HD460" i="121"/>
  <c r="HL460" i="121"/>
  <c r="HT460" i="121"/>
  <c r="LJ460" i="121"/>
  <c r="LR460" i="121"/>
  <c r="LZ460" i="121"/>
  <c r="AF460" i="121"/>
  <c r="AV460" i="121"/>
  <c r="BT460" i="121"/>
  <c r="CZ460" i="121"/>
  <c r="EN460" i="121"/>
  <c r="FT460" i="121"/>
  <c r="GR460" i="121"/>
  <c r="HH460" i="121"/>
  <c r="MD460" i="121"/>
  <c r="AC460" i="121"/>
  <c r="AK460" i="121"/>
  <c r="AS460" i="121"/>
  <c r="BA460" i="121"/>
  <c r="BI460" i="121"/>
  <c r="BQ460" i="121"/>
  <c r="BY460" i="121"/>
  <c r="CG460" i="121"/>
  <c r="CO460" i="121"/>
  <c r="CW460" i="121"/>
  <c r="DE460" i="121"/>
  <c r="DM460" i="121"/>
  <c r="DU460" i="121"/>
  <c r="EC460" i="121"/>
  <c r="EK460" i="121"/>
  <c r="ES460" i="121"/>
  <c r="FA460" i="121"/>
  <c r="FI460" i="121"/>
  <c r="FQ460" i="121"/>
  <c r="GG460" i="121"/>
  <c r="GO460" i="121"/>
  <c r="GW460" i="121"/>
  <c r="HE460" i="121"/>
  <c r="HM460" i="121"/>
  <c r="HU460" i="121"/>
  <c r="LK460" i="121"/>
  <c r="LS460" i="121"/>
  <c r="AB459" i="121"/>
  <c r="AJ459" i="121"/>
  <c r="AR459" i="121"/>
  <c r="AZ459" i="121"/>
  <c r="BH459" i="121"/>
  <c r="BP459" i="121"/>
  <c r="BX459" i="121"/>
  <c r="CF459" i="121"/>
  <c r="CN459" i="121"/>
  <c r="CV459" i="121"/>
  <c r="DD459" i="121"/>
  <c r="DL459" i="121"/>
  <c r="DT459" i="121"/>
  <c r="EB459" i="121"/>
  <c r="EJ459" i="121"/>
  <c r="ER459" i="121"/>
  <c r="EZ459" i="121"/>
  <c r="FH459" i="121"/>
  <c r="FP459" i="121"/>
  <c r="GN459" i="121"/>
  <c r="GV459" i="121"/>
  <c r="HD459" i="121"/>
  <c r="HL459" i="121"/>
  <c r="HT459" i="121"/>
  <c r="LM459" i="121"/>
  <c r="LU459" i="121"/>
  <c r="MC459" i="121"/>
  <c r="AC459" i="121"/>
  <c r="AK459" i="121"/>
  <c r="AS459" i="121"/>
  <c r="BA459" i="121"/>
  <c r="BI459" i="121"/>
  <c r="BQ459" i="121"/>
  <c r="BY459" i="121"/>
  <c r="CG459" i="121"/>
  <c r="CO459" i="121"/>
  <c r="CW459" i="121"/>
  <c r="DE459" i="121"/>
  <c r="DM459" i="121"/>
  <c r="DU459" i="121"/>
  <c r="EC459" i="121"/>
  <c r="EK459" i="121"/>
  <c r="ES459" i="121"/>
  <c r="FA459" i="121"/>
  <c r="FI459" i="121"/>
  <c r="FQ459" i="121"/>
  <c r="GG459" i="121"/>
  <c r="GO459" i="121"/>
  <c r="GW459" i="121"/>
  <c r="HE459" i="121"/>
  <c r="HM459" i="121"/>
  <c r="HU459" i="121"/>
  <c r="LN459" i="121"/>
  <c r="LV459" i="121"/>
  <c r="MD459" i="121"/>
  <c r="AE459" i="121"/>
  <c r="AU459" i="121"/>
  <c r="CA459" i="121"/>
  <c r="CQ459" i="121"/>
  <c r="DW459" i="121"/>
  <c r="FK459" i="121"/>
  <c r="GQ459" i="121"/>
  <c r="HW459" i="121"/>
  <c r="X459" i="121"/>
  <c r="AF459" i="121"/>
  <c r="AN459" i="121"/>
  <c r="AV459" i="121"/>
  <c r="BD459" i="121"/>
  <c r="BL459" i="121"/>
  <c r="BT459" i="121"/>
  <c r="CB459" i="121"/>
  <c r="CJ459" i="121"/>
  <c r="CR459" i="121"/>
  <c r="CZ459" i="121"/>
  <c r="DH459" i="121"/>
  <c r="DP459" i="121"/>
  <c r="DX459" i="121"/>
  <c r="EN459" i="121"/>
  <c r="EV459" i="121"/>
  <c r="FD459" i="121"/>
  <c r="FL459" i="121"/>
  <c r="FT459" i="121"/>
  <c r="GJ459" i="121"/>
  <c r="GR459" i="121"/>
  <c r="GZ459" i="121"/>
  <c r="HH459" i="121"/>
  <c r="HP459" i="121"/>
  <c r="HX459" i="121"/>
  <c r="LI459" i="121"/>
  <c r="LQ459" i="121"/>
  <c r="LY459" i="121"/>
  <c r="AM459" i="121"/>
  <c r="BC459" i="121"/>
  <c r="BK459" i="121"/>
  <c r="DO459" i="121"/>
  <c r="EU459" i="121"/>
  <c r="GI459" i="121"/>
  <c r="HG459" i="121"/>
  <c r="LX459" i="121"/>
  <c r="Y459" i="121"/>
  <c r="AG459" i="121"/>
  <c r="AO459" i="121"/>
  <c r="AW459" i="121"/>
  <c r="BE459" i="121"/>
  <c r="BM459" i="121"/>
  <c r="BU459" i="121"/>
  <c r="CC459" i="121"/>
  <c r="CK459" i="121"/>
  <c r="CS459" i="121"/>
  <c r="DA459" i="121"/>
  <c r="DI459" i="121"/>
  <c r="DQ459" i="121"/>
  <c r="DY459" i="121"/>
  <c r="EO459" i="121"/>
  <c r="EW459" i="121"/>
  <c r="FE459" i="121"/>
  <c r="FM459" i="121"/>
  <c r="FU459" i="121"/>
  <c r="GK459" i="121"/>
  <c r="GS459" i="121"/>
  <c r="HA459" i="121"/>
  <c r="HI459" i="121"/>
  <c r="HQ459" i="121"/>
  <c r="HY459" i="121"/>
  <c r="LJ459" i="121"/>
  <c r="LR459" i="121"/>
  <c r="LZ459" i="121"/>
  <c r="CI459" i="121"/>
  <c r="CY459" i="121"/>
  <c r="FC459" i="121"/>
  <c r="GY459" i="121"/>
  <c r="LH459" i="121"/>
  <c r="Z459" i="121"/>
  <c r="AH459" i="121"/>
  <c r="AP459" i="121"/>
  <c r="AX459" i="121"/>
  <c r="BF459" i="121"/>
  <c r="BN459" i="121"/>
  <c r="BV459" i="121"/>
  <c r="CD459" i="121"/>
  <c r="CL459" i="121"/>
  <c r="CT459" i="121"/>
  <c r="DB459" i="121"/>
  <c r="DJ459" i="121"/>
  <c r="DR459" i="121"/>
  <c r="DZ459" i="121"/>
  <c r="EP459" i="121"/>
  <c r="EX459" i="121"/>
  <c r="FF459" i="121"/>
  <c r="FN459" i="121"/>
  <c r="FV459" i="121"/>
  <c r="GL459" i="121"/>
  <c r="GT459" i="121"/>
  <c r="HB459" i="121"/>
  <c r="HJ459" i="121"/>
  <c r="HR459" i="121"/>
  <c r="LK459" i="121"/>
  <c r="LS459" i="121"/>
  <c r="MA459" i="121"/>
  <c r="BS459" i="121"/>
  <c r="DG459" i="121"/>
  <c r="EM459" i="121"/>
  <c r="FS459" i="121"/>
  <c r="HO459" i="121"/>
  <c r="LP459" i="121"/>
  <c r="AA459" i="121"/>
  <c r="AI459" i="121"/>
  <c r="AQ459" i="121"/>
  <c r="AY459" i="121"/>
  <c r="BG459" i="121"/>
  <c r="BO459" i="121"/>
  <c r="BW459" i="121"/>
  <c r="CE459" i="121"/>
  <c r="CM459" i="121"/>
  <c r="CU459" i="121"/>
  <c r="DC459" i="121"/>
  <c r="DK459" i="121"/>
  <c r="DS459" i="121"/>
  <c r="EA459" i="121"/>
  <c r="EI459" i="121"/>
  <c r="EQ459" i="121"/>
  <c r="EY459" i="121"/>
  <c r="FG459" i="121"/>
  <c r="FO459" i="121"/>
  <c r="GM459" i="121"/>
  <c r="GU459" i="121"/>
  <c r="HC459" i="121"/>
  <c r="HK459" i="121"/>
  <c r="HS459" i="121"/>
  <c r="LL459" i="121"/>
  <c r="LT459" i="121"/>
  <c r="AB458" i="121"/>
  <c r="AJ458" i="121"/>
  <c r="AR458" i="121"/>
  <c r="AZ458" i="121"/>
  <c r="BH458" i="121"/>
  <c r="BP458" i="121"/>
  <c r="BX458" i="121"/>
  <c r="CF458" i="121"/>
  <c r="CN458" i="121"/>
  <c r="CV458" i="121"/>
  <c r="DD458" i="121"/>
  <c r="DL458" i="121"/>
  <c r="DT458" i="121"/>
  <c r="EB458" i="121"/>
  <c r="EJ458" i="121"/>
  <c r="ER458" i="121"/>
  <c r="EZ458" i="121"/>
  <c r="FH458" i="121"/>
  <c r="FP458" i="121"/>
  <c r="FX458" i="121"/>
  <c r="GF458" i="121"/>
  <c r="GN458" i="121"/>
  <c r="GV458" i="121"/>
  <c r="HD458" i="121"/>
  <c r="HL458" i="121"/>
  <c r="HT458" i="121"/>
  <c r="IB458" i="121"/>
  <c r="JI458" i="121"/>
  <c r="KZ458" i="121"/>
  <c r="LM458" i="121"/>
  <c r="LU458" i="121"/>
  <c r="MC458" i="121"/>
  <c r="MO458" i="121"/>
  <c r="AC458" i="121"/>
  <c r="AK458" i="121"/>
  <c r="BA458" i="121"/>
  <c r="BI458" i="121"/>
  <c r="BQ458" i="121"/>
  <c r="BY458" i="121"/>
  <c r="CG458" i="121"/>
  <c r="CO458" i="121"/>
  <c r="CW458" i="121"/>
  <c r="DM458" i="121"/>
  <c r="DU458" i="121"/>
  <c r="EC458" i="121"/>
  <c r="ES458" i="121"/>
  <c r="FA458" i="121"/>
  <c r="FI458" i="121"/>
  <c r="FQ458" i="121"/>
  <c r="GG458" i="121"/>
  <c r="GW458" i="121"/>
  <c r="HE458" i="121"/>
  <c r="HM458" i="121"/>
  <c r="HU458" i="121"/>
  <c r="IC458" i="121"/>
  <c r="JO458" i="121"/>
  <c r="LE458" i="121"/>
  <c r="LN458" i="121"/>
  <c r="MD458" i="121"/>
  <c r="MR458" i="121"/>
  <c r="EK458" i="121"/>
  <c r="AD458" i="121"/>
  <c r="AL458" i="121"/>
  <c r="AT458" i="121"/>
  <c r="BB458" i="121"/>
  <c r="BJ458" i="121"/>
  <c r="BR458" i="121"/>
  <c r="BZ458" i="121"/>
  <c r="CH458" i="121"/>
  <c r="CP458" i="121"/>
  <c r="CX458" i="121"/>
  <c r="DF458" i="121"/>
  <c r="DN458" i="121"/>
  <c r="DV458" i="121"/>
  <c r="ED458" i="121"/>
  <c r="EL458" i="121"/>
  <c r="ET458" i="121"/>
  <c r="FB458" i="121"/>
  <c r="FJ458" i="121"/>
  <c r="FR458" i="121"/>
  <c r="FZ458" i="121"/>
  <c r="GH458" i="121"/>
  <c r="GP458" i="121"/>
  <c r="GX458" i="121"/>
  <c r="HF458" i="121"/>
  <c r="HN458" i="121"/>
  <c r="HV458" i="121"/>
  <c r="ID458" i="121"/>
  <c r="JT458" i="121"/>
  <c r="LG458" i="121"/>
  <c r="LO458" i="121"/>
  <c r="LW458" i="121"/>
  <c r="ME458" i="121"/>
  <c r="GO458" i="121"/>
  <c r="AE458" i="121"/>
  <c r="AM458" i="121"/>
  <c r="AU458" i="121"/>
  <c r="BC458" i="121"/>
  <c r="BK458" i="121"/>
  <c r="BS458" i="121"/>
  <c r="CA458" i="121"/>
  <c r="CI458" i="121"/>
  <c r="CQ458" i="121"/>
  <c r="CY458" i="121"/>
  <c r="DG458" i="121"/>
  <c r="DO458" i="121"/>
  <c r="DW458" i="121"/>
  <c r="EE458" i="121"/>
  <c r="EM458" i="121"/>
  <c r="EU458" i="121"/>
  <c r="FC458" i="121"/>
  <c r="FK458" i="121"/>
  <c r="FS458" i="121"/>
  <c r="GA458" i="121"/>
  <c r="GI458" i="121"/>
  <c r="GQ458" i="121"/>
  <c r="GY458" i="121"/>
  <c r="HG458" i="121"/>
  <c r="HO458" i="121"/>
  <c r="HW458" i="121"/>
  <c r="II458" i="121"/>
  <c r="JY458" i="121"/>
  <c r="LH458" i="121"/>
  <c r="LP458" i="121"/>
  <c r="LX458" i="121"/>
  <c r="MI458" i="121"/>
  <c r="FY458" i="121"/>
  <c r="X458" i="121"/>
  <c r="AF458" i="121"/>
  <c r="AN458" i="121"/>
  <c r="AV458" i="121"/>
  <c r="BD458" i="121"/>
  <c r="BL458" i="121"/>
  <c r="BT458" i="121"/>
  <c r="CB458" i="121"/>
  <c r="CJ458" i="121"/>
  <c r="CR458" i="121"/>
  <c r="CZ458" i="121"/>
  <c r="DH458" i="121"/>
  <c r="DP458" i="121"/>
  <c r="DX458" i="121"/>
  <c r="EF458" i="121"/>
  <c r="EN458" i="121"/>
  <c r="EV458" i="121"/>
  <c r="FD458" i="121"/>
  <c r="FL458" i="121"/>
  <c r="FT458" i="121"/>
  <c r="GB458" i="121"/>
  <c r="GJ458" i="121"/>
  <c r="GR458" i="121"/>
  <c r="GZ458" i="121"/>
  <c r="HH458" i="121"/>
  <c r="HP458" i="121"/>
  <c r="HX458" i="121"/>
  <c r="IN458" i="121"/>
  <c r="KE458" i="121"/>
  <c r="LI458" i="121"/>
  <c r="LQ458" i="121"/>
  <c r="LY458" i="121"/>
  <c r="MK458" i="121"/>
  <c r="LV458" i="121"/>
  <c r="Y458" i="121"/>
  <c r="AG458" i="121"/>
  <c r="AO458" i="121"/>
  <c r="AW458" i="121"/>
  <c r="BE458" i="121"/>
  <c r="BM458" i="121"/>
  <c r="BU458" i="121"/>
  <c r="CC458" i="121"/>
  <c r="CK458" i="121"/>
  <c r="CS458" i="121"/>
  <c r="DA458" i="121"/>
  <c r="DI458" i="121"/>
  <c r="DQ458" i="121"/>
  <c r="DY458" i="121"/>
  <c r="EG458" i="121"/>
  <c r="EG487" i="121" s="1"/>
  <c r="N504" i="121" s="1"/>
  <c r="EO458" i="121"/>
  <c r="EW458" i="121"/>
  <c r="FE458" i="121"/>
  <c r="FM458" i="121"/>
  <c r="FU458" i="121"/>
  <c r="GC458" i="121"/>
  <c r="GC487" i="121" s="1"/>
  <c r="L609" i="121" s="1"/>
  <c r="GK458" i="121"/>
  <c r="GS458" i="121"/>
  <c r="HA458" i="121"/>
  <c r="HI458" i="121"/>
  <c r="HQ458" i="121"/>
  <c r="HY458" i="121"/>
  <c r="IS458" i="121"/>
  <c r="KJ458" i="121"/>
  <c r="LJ458" i="121"/>
  <c r="LR458" i="121"/>
  <c r="LZ458" i="121"/>
  <c r="ML458" i="121"/>
  <c r="AS458" i="121"/>
  <c r="DE458" i="121"/>
  <c r="Z458" i="121"/>
  <c r="AH458" i="121"/>
  <c r="AP458" i="121"/>
  <c r="AX458" i="121"/>
  <c r="BF458" i="121"/>
  <c r="BN458" i="121"/>
  <c r="BV458" i="121"/>
  <c r="CD458" i="121"/>
  <c r="CL458" i="121"/>
  <c r="CT458" i="121"/>
  <c r="DB458" i="121"/>
  <c r="DJ458" i="121"/>
  <c r="DR458" i="121"/>
  <c r="DZ458" i="121"/>
  <c r="EH458" i="121"/>
  <c r="EP458" i="121"/>
  <c r="EX458" i="121"/>
  <c r="FF458" i="121"/>
  <c r="FN458" i="121"/>
  <c r="FV458" i="121"/>
  <c r="GD458" i="121"/>
  <c r="GD487" i="121" s="1"/>
  <c r="M609" i="121" s="1"/>
  <c r="GL458" i="121"/>
  <c r="GT458" i="121"/>
  <c r="HB458" i="121"/>
  <c r="HJ458" i="121"/>
  <c r="HR458" i="121"/>
  <c r="HZ458" i="121"/>
  <c r="HZ487" i="121" s="1"/>
  <c r="IY458" i="121"/>
  <c r="KO458" i="121"/>
  <c r="LK458" i="121"/>
  <c r="LS458" i="121"/>
  <c r="MA458" i="121"/>
  <c r="AB450" i="121"/>
  <c r="AJ450" i="121"/>
  <c r="AR450" i="121"/>
  <c r="AZ450" i="121"/>
  <c r="BH450" i="121"/>
  <c r="BP450" i="121"/>
  <c r="BX450" i="121"/>
  <c r="CF450" i="121"/>
  <c r="CN450" i="121"/>
  <c r="CV450" i="121"/>
  <c r="DD450" i="121"/>
  <c r="DL450" i="121"/>
  <c r="DT450" i="121"/>
  <c r="EB450" i="121"/>
  <c r="EJ450" i="121"/>
  <c r="ER450" i="121"/>
  <c r="EZ450" i="121"/>
  <c r="FH450" i="121"/>
  <c r="FP450" i="121"/>
  <c r="FX450" i="121"/>
  <c r="GF450" i="121"/>
  <c r="GN450" i="121"/>
  <c r="GV450" i="121"/>
  <c r="HD450" i="121"/>
  <c r="HL450" i="121"/>
  <c r="HT450" i="121"/>
  <c r="IB450" i="121"/>
  <c r="IN450" i="121"/>
  <c r="JD450" i="121"/>
  <c r="JT450" i="121"/>
  <c r="KJ450" i="121"/>
  <c r="KZ450" i="121"/>
  <c r="LL450" i="121"/>
  <c r="LT450" i="121"/>
  <c r="MB450" i="121"/>
  <c r="ML450" i="121"/>
  <c r="AE450" i="121"/>
  <c r="AM450" i="121"/>
  <c r="AU450" i="121"/>
  <c r="BC450" i="121"/>
  <c r="BK450" i="121"/>
  <c r="BS450" i="121"/>
  <c r="CA450" i="121"/>
  <c r="CI450" i="121"/>
  <c r="CQ450" i="121"/>
  <c r="CY450" i="121"/>
  <c r="DG450" i="121"/>
  <c r="DO450" i="121"/>
  <c r="DW450" i="121"/>
  <c r="EE450" i="121"/>
  <c r="EM450" i="121"/>
  <c r="EU450" i="121"/>
  <c r="FC450" i="121"/>
  <c r="FK450" i="121"/>
  <c r="FS450" i="121"/>
  <c r="GA450" i="121"/>
  <c r="GI450" i="121"/>
  <c r="GQ450" i="121"/>
  <c r="GY450" i="121"/>
  <c r="HG450" i="121"/>
  <c r="HO450" i="121"/>
  <c r="HW450" i="121"/>
  <c r="IE450" i="121"/>
  <c r="IU450" i="121"/>
  <c r="JK450" i="121"/>
  <c r="KA450" i="121"/>
  <c r="KQ450" i="121"/>
  <c r="LG450" i="121"/>
  <c r="LO450" i="121"/>
  <c r="LW450" i="121"/>
  <c r="ME450" i="121"/>
  <c r="MO450" i="121"/>
  <c r="X450" i="121"/>
  <c r="AF450" i="121"/>
  <c r="AN450" i="121"/>
  <c r="AV450" i="121"/>
  <c r="BD450" i="121"/>
  <c r="BL450" i="121"/>
  <c r="BT450" i="121"/>
  <c r="CB450" i="121"/>
  <c r="CJ450" i="121"/>
  <c r="CR450" i="121"/>
  <c r="CZ450" i="121"/>
  <c r="DH450" i="121"/>
  <c r="DP450" i="121"/>
  <c r="DX450" i="121"/>
  <c r="EF450" i="121"/>
  <c r="EN450" i="121"/>
  <c r="EV450" i="121"/>
  <c r="FD450" i="121"/>
  <c r="FL450" i="121"/>
  <c r="FT450" i="121"/>
  <c r="GB450" i="121"/>
  <c r="GJ450" i="121"/>
  <c r="GR450" i="121"/>
  <c r="GZ450" i="121"/>
  <c r="HH450" i="121"/>
  <c r="HP450" i="121"/>
  <c r="HX450" i="121"/>
  <c r="IF450" i="121"/>
  <c r="IV450" i="121"/>
  <c r="JL450" i="121"/>
  <c r="KB450" i="121"/>
  <c r="KR450" i="121"/>
  <c r="LH450" i="121"/>
  <c r="LP450" i="121"/>
  <c r="LX450" i="121"/>
  <c r="MF450" i="121"/>
  <c r="MQ450" i="121"/>
  <c r="Y450" i="121"/>
  <c r="AG450" i="121"/>
  <c r="AO450" i="121"/>
  <c r="AW450" i="121"/>
  <c r="BE450" i="121"/>
  <c r="BM450" i="121"/>
  <c r="BU450" i="121"/>
  <c r="CC450" i="121"/>
  <c r="CK450" i="121"/>
  <c r="CS450" i="121"/>
  <c r="DA450" i="121"/>
  <c r="DI450" i="121"/>
  <c r="DQ450" i="121"/>
  <c r="DY450" i="121"/>
  <c r="EG450" i="121"/>
  <c r="EO450" i="121"/>
  <c r="EW450" i="121"/>
  <c r="FE450" i="121"/>
  <c r="FM450" i="121"/>
  <c r="FU450" i="121"/>
  <c r="GC450" i="121"/>
  <c r="GK450" i="121"/>
  <c r="GS450" i="121"/>
  <c r="HA450" i="121"/>
  <c r="HI450" i="121"/>
  <c r="HQ450" i="121"/>
  <c r="HY450" i="121"/>
  <c r="II450" i="121"/>
  <c r="IY450" i="121"/>
  <c r="JO450" i="121"/>
  <c r="KE450" i="121"/>
  <c r="KU450" i="121"/>
  <c r="LI450" i="121"/>
  <c r="LQ450" i="121"/>
  <c r="LY450" i="121"/>
  <c r="MI450" i="121"/>
  <c r="MR450" i="121"/>
  <c r="Z450" i="121"/>
  <c r="AH450" i="121"/>
  <c r="AP450" i="121"/>
  <c r="AX450" i="121"/>
  <c r="BF450" i="121"/>
  <c r="BN450" i="121"/>
  <c r="BV450" i="121"/>
  <c r="CD450" i="121"/>
  <c r="CL450" i="121"/>
  <c r="CT450" i="121"/>
  <c r="DB450" i="121"/>
  <c r="DJ450" i="121"/>
  <c r="DR450" i="121"/>
  <c r="DZ450" i="121"/>
  <c r="EH450" i="121"/>
  <c r="EP450" i="121"/>
  <c r="EX450" i="121"/>
  <c r="FF450" i="121"/>
  <c r="FN450" i="121"/>
  <c r="FV450" i="121"/>
  <c r="GD450" i="121"/>
  <c r="GL450" i="121"/>
  <c r="GT450" i="121"/>
  <c r="HB450" i="121"/>
  <c r="HJ450" i="121"/>
  <c r="HR450" i="121"/>
  <c r="HZ450" i="121"/>
  <c r="IJ450" i="121"/>
  <c r="IZ450" i="121"/>
  <c r="JP450" i="121"/>
  <c r="KF450" i="121"/>
  <c r="KV450" i="121"/>
  <c r="LJ450" i="121"/>
  <c r="LR450" i="121"/>
  <c r="LZ450" i="121"/>
  <c r="AB451" i="121"/>
  <c r="AJ451" i="121"/>
  <c r="AR451" i="121"/>
  <c r="AZ451" i="121"/>
  <c r="BH451" i="121"/>
  <c r="BP451" i="121"/>
  <c r="BX451" i="121"/>
  <c r="CF451" i="121"/>
  <c r="CN451" i="121"/>
  <c r="CV451" i="121"/>
  <c r="DD451" i="121"/>
  <c r="DL451" i="121"/>
  <c r="DT451" i="121"/>
  <c r="EB451" i="121"/>
  <c r="EJ451" i="121"/>
  <c r="ER451" i="121"/>
  <c r="EZ451" i="121"/>
  <c r="FH451" i="121"/>
  <c r="FP451" i="121"/>
  <c r="FX451" i="121"/>
  <c r="GF451" i="121"/>
  <c r="GN451" i="121"/>
  <c r="GV451" i="121"/>
  <c r="HD451" i="121"/>
  <c r="HL451" i="121"/>
  <c r="HT451" i="121"/>
  <c r="IB451" i="121"/>
  <c r="IP451" i="121"/>
  <c r="JF451" i="121"/>
  <c r="JV451" i="121"/>
  <c r="KL451" i="121"/>
  <c r="LB451" i="121"/>
  <c r="LL451" i="121"/>
  <c r="LT451" i="121"/>
  <c r="MB451" i="121"/>
  <c r="MM451" i="121"/>
  <c r="MM487" i="121" s="1"/>
  <c r="AC451" i="121"/>
  <c r="AK451" i="121"/>
  <c r="AS451" i="121"/>
  <c r="BA451" i="121"/>
  <c r="BI451" i="121"/>
  <c r="BQ451" i="121"/>
  <c r="BY451" i="121"/>
  <c r="CG451" i="121"/>
  <c r="CO451" i="121"/>
  <c r="CW451" i="121"/>
  <c r="DE451" i="121"/>
  <c r="DM451" i="121"/>
  <c r="DU451" i="121"/>
  <c r="EC451" i="121"/>
  <c r="EK451" i="121"/>
  <c r="ES451" i="121"/>
  <c r="FA451" i="121"/>
  <c r="FI451" i="121"/>
  <c r="FQ451" i="121"/>
  <c r="FY451" i="121"/>
  <c r="GG451" i="121"/>
  <c r="GO451" i="121"/>
  <c r="GW451" i="121"/>
  <c r="HE451" i="121"/>
  <c r="HM451" i="121"/>
  <c r="HU451" i="121"/>
  <c r="IC451" i="121"/>
  <c r="IQ451" i="121"/>
  <c r="JG451" i="121"/>
  <c r="JW451" i="121"/>
  <c r="KM451" i="121"/>
  <c r="LC451" i="121"/>
  <c r="LM451" i="121"/>
  <c r="LU451" i="121"/>
  <c r="MC451" i="121"/>
  <c r="MN451" i="121"/>
  <c r="A451" i="121"/>
  <c r="AD451" i="121"/>
  <c r="AL451" i="121"/>
  <c r="AT451" i="121"/>
  <c r="BB451" i="121"/>
  <c r="BJ451" i="121"/>
  <c r="BR451" i="121"/>
  <c r="BZ451" i="121"/>
  <c r="CH451" i="121"/>
  <c r="CP451" i="121"/>
  <c r="CX451" i="121"/>
  <c r="DF451" i="121"/>
  <c r="DN451" i="121"/>
  <c r="DV451" i="121"/>
  <c r="ED451" i="121"/>
  <c r="ED487" i="121" s="1"/>
  <c r="K504" i="121" s="1"/>
  <c r="EL451" i="121"/>
  <c r="ET451" i="121"/>
  <c r="FB451" i="121"/>
  <c r="FJ451" i="121"/>
  <c r="FR451" i="121"/>
  <c r="FZ451" i="121"/>
  <c r="GH451" i="121"/>
  <c r="GP451" i="121"/>
  <c r="GX451" i="121"/>
  <c r="HF451" i="121"/>
  <c r="HN451" i="121"/>
  <c r="HV451" i="121"/>
  <c r="ID451" i="121"/>
  <c r="IT451" i="121"/>
  <c r="JJ451" i="121"/>
  <c r="JZ451" i="121"/>
  <c r="KP451" i="121"/>
  <c r="LF451" i="121"/>
  <c r="LN451" i="121"/>
  <c r="LV451" i="121"/>
  <c r="MD451" i="121"/>
  <c r="MO451" i="121"/>
  <c r="AE451" i="121"/>
  <c r="AM451" i="121"/>
  <c r="AU451" i="121"/>
  <c r="BC451" i="121"/>
  <c r="BK451" i="121"/>
  <c r="BS451" i="121"/>
  <c r="CA451" i="121"/>
  <c r="CI451" i="121"/>
  <c r="CQ451" i="121"/>
  <c r="CY451" i="121"/>
  <c r="DG451" i="121"/>
  <c r="DO451" i="121"/>
  <c r="DW451" i="121"/>
  <c r="EE451" i="121"/>
  <c r="EM451" i="121"/>
  <c r="EU451" i="121"/>
  <c r="FC451" i="121"/>
  <c r="FK451" i="121"/>
  <c r="FS451" i="121"/>
  <c r="GA451" i="121"/>
  <c r="GI451" i="121"/>
  <c r="GQ451" i="121"/>
  <c r="GY451" i="121"/>
  <c r="HG451" i="121"/>
  <c r="HO451" i="121"/>
  <c r="HW451" i="121"/>
  <c r="IE451" i="121"/>
  <c r="IU451" i="121"/>
  <c r="JK451" i="121"/>
  <c r="KA451" i="121"/>
  <c r="KQ451" i="121"/>
  <c r="LG451" i="121"/>
  <c r="LO451" i="121"/>
  <c r="LW451" i="121"/>
  <c r="ME451" i="121"/>
  <c r="MP451" i="121"/>
  <c r="X451" i="121"/>
  <c r="AF451" i="121"/>
  <c r="AN451" i="121"/>
  <c r="AV451" i="121"/>
  <c r="BD451" i="121"/>
  <c r="BL451" i="121"/>
  <c r="BT451" i="121"/>
  <c r="CB451" i="121"/>
  <c r="CJ451" i="121"/>
  <c r="CR451" i="121"/>
  <c r="CZ451" i="121"/>
  <c r="DH451" i="121"/>
  <c r="DP451" i="121"/>
  <c r="DX451" i="121"/>
  <c r="EF451" i="121"/>
  <c r="EF487" i="121" s="1"/>
  <c r="M504" i="121" s="1"/>
  <c r="EN451" i="121"/>
  <c r="EV451" i="121"/>
  <c r="FD451" i="121"/>
  <c r="FL451" i="121"/>
  <c r="FT451" i="121"/>
  <c r="GB451" i="121"/>
  <c r="GB487" i="121" s="1"/>
  <c r="K609" i="121" s="1"/>
  <c r="GJ451" i="121"/>
  <c r="GR451" i="121"/>
  <c r="GZ451" i="121"/>
  <c r="HH451" i="121"/>
  <c r="HP451" i="121"/>
  <c r="HX451" i="121"/>
  <c r="IH451" i="121"/>
  <c r="IX451" i="121"/>
  <c r="JN451" i="121"/>
  <c r="KD451" i="121"/>
  <c r="KT451" i="121"/>
  <c r="LH451" i="121"/>
  <c r="LP451" i="121"/>
  <c r="LX451" i="121"/>
  <c r="MH451" i="121"/>
  <c r="MQ451" i="121"/>
  <c r="Y451" i="121"/>
  <c r="AG451" i="121"/>
  <c r="AO451" i="121"/>
  <c r="AW451" i="121"/>
  <c r="BE451" i="121"/>
  <c r="BM451" i="121"/>
  <c r="BU451" i="121"/>
  <c r="CC451" i="121"/>
  <c r="CK451" i="121"/>
  <c r="CS451" i="121"/>
  <c r="DA451" i="121"/>
  <c r="DI451" i="121"/>
  <c r="DQ451" i="121"/>
  <c r="DY451" i="121"/>
  <c r="EG451" i="121"/>
  <c r="EO451" i="121"/>
  <c r="EW451" i="121"/>
  <c r="FE451" i="121"/>
  <c r="FM451" i="121"/>
  <c r="FU451" i="121"/>
  <c r="GC451" i="121"/>
  <c r="GK451" i="121"/>
  <c r="GS451" i="121"/>
  <c r="HA451" i="121"/>
  <c r="HI451" i="121"/>
  <c r="HQ451" i="121"/>
  <c r="HY451" i="121"/>
  <c r="II451" i="121"/>
  <c r="IY451" i="121"/>
  <c r="JO451" i="121"/>
  <c r="KE451" i="121"/>
  <c r="KU451" i="121"/>
  <c r="LI451" i="121"/>
  <c r="LQ451" i="121"/>
  <c r="LY451" i="121"/>
  <c r="MI451" i="121"/>
  <c r="S151"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J556" i="121"/>
  <c r="A237" i="121"/>
  <c r="N1385" i="121"/>
  <c r="J1414" i="121"/>
  <c r="K1395" i="121"/>
  <c r="J1452" i="121"/>
  <c r="F147" i="121"/>
  <c r="D151" i="121"/>
  <c r="EH487" i="121"/>
  <c r="O504" i="121" s="1"/>
  <c r="FX487" i="121"/>
  <c r="GF487" i="121"/>
  <c r="O609" i="121" s="1"/>
  <c r="IB487" i="121"/>
  <c r="E1167" i="121"/>
  <c r="C721" i="121"/>
  <c r="C723" i="121"/>
  <c r="D716" i="121"/>
  <c r="D723" i="121"/>
  <c r="D721" i="121"/>
  <c r="D715" i="121"/>
  <c r="E714" i="121"/>
  <c r="C716" i="121"/>
  <c r="E148" i="121"/>
  <c r="IC487" i="121" l="1"/>
  <c r="MN487" i="121"/>
  <c r="HM487" i="121"/>
  <c r="M557" i="121" s="1"/>
  <c r="ML487" i="121"/>
  <c r="DI487" i="121"/>
  <c r="O546" i="121" s="1"/>
  <c r="AW487" i="121"/>
  <c r="K499" i="121" s="1"/>
  <c r="IV487" i="121"/>
  <c r="M585" i="121" s="1"/>
  <c r="JM487" i="121"/>
  <c r="O580" i="121" s="1"/>
  <c r="O591" i="121" s="1"/>
  <c r="BI487" i="121"/>
  <c r="M502" i="121" s="1"/>
  <c r="EO487" i="121"/>
  <c r="L600" i="121" s="1"/>
  <c r="ET487" i="121"/>
  <c r="L601" i="121" s="1"/>
  <c r="MF487" i="121"/>
  <c r="FD487" i="121"/>
  <c r="L603" i="121" s="1"/>
  <c r="DT487" i="121"/>
  <c r="K543" i="121" s="1"/>
  <c r="BH487" i="121"/>
  <c r="L502" i="121" s="1"/>
  <c r="FT487" i="121"/>
  <c r="M607" i="121" s="1"/>
  <c r="CN487" i="121"/>
  <c r="N532" i="121" s="1"/>
  <c r="AB487" i="121"/>
  <c r="O494" i="121" s="1"/>
  <c r="HF487" i="121"/>
  <c r="LE487" i="121"/>
  <c r="N577" i="121" s="1"/>
  <c r="IS487" i="121"/>
  <c r="O584" i="121" s="1"/>
  <c r="MH487" i="121"/>
  <c r="ID487" i="121"/>
  <c r="LP487" i="121"/>
  <c r="LY487" i="121"/>
  <c r="MK487" i="121"/>
  <c r="IE487" i="121"/>
  <c r="K578" i="121" s="1"/>
  <c r="HI487" i="121"/>
  <c r="BJ487" i="121"/>
  <c r="N502" i="121" s="1"/>
  <c r="CC487" i="121"/>
  <c r="M534" i="121" s="1"/>
  <c r="MO487" i="121"/>
  <c r="IX487" i="121"/>
  <c r="O585" i="121" s="1"/>
  <c r="ES487" i="121"/>
  <c r="K601" i="121" s="1"/>
  <c r="LX487" i="121"/>
  <c r="BX487" i="121"/>
  <c r="M535" i="121" s="1"/>
  <c r="GX487" i="121"/>
  <c r="M554" i="121" s="1"/>
  <c r="FY487" i="121"/>
  <c r="KO487" i="121"/>
  <c r="M574" i="121" s="1"/>
  <c r="JI487" i="121"/>
  <c r="K580" i="121" s="1"/>
  <c r="K591" i="121" s="1"/>
  <c r="JR487" i="121"/>
  <c r="O581" i="121" s="1"/>
  <c r="O592" i="121" s="1"/>
  <c r="G153" i="121"/>
  <c r="E150"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682" i="121" l="1"/>
  <c r="M594" i="121"/>
  <c r="N596" i="121"/>
  <c r="M593" i="121"/>
  <c r="Q682" i="121"/>
  <c r="N595" i="121"/>
  <c r="M556" i="121"/>
  <c r="M596" i="121"/>
  <c r="N589" i="121"/>
  <c r="L593" i="121"/>
  <c r="M590" i="121"/>
  <c r="O595" i="121"/>
  <c r="O563" i="121"/>
  <c r="N594" i="121"/>
  <c r="O590" i="121"/>
  <c r="Q683" i="121"/>
  <c r="P571" i="121"/>
  <c r="L563" i="121"/>
  <c r="P543" i="121"/>
  <c r="O593" i="121"/>
  <c r="P578" i="121"/>
  <c r="L590" i="121"/>
  <c r="P592" i="121"/>
  <c r="N563" i="121"/>
  <c r="P681" i="121"/>
  <c r="K589" i="121"/>
  <c r="P575" i="121"/>
  <c r="L595" i="121"/>
  <c r="P585" i="121"/>
  <c r="L594" i="121"/>
  <c r="Q681" i="121"/>
  <c r="N590" i="121"/>
  <c r="P572" i="121"/>
  <c r="L589" i="121"/>
  <c r="K590" i="121"/>
  <c r="P576" i="121"/>
  <c r="P577" i="121"/>
  <c r="O556" i="121"/>
  <c r="N569" i="121"/>
  <c r="K594" i="121"/>
  <c r="P683" i="121"/>
  <c r="P574" i="121"/>
  <c r="M563" i="121"/>
  <c r="P535" i="121"/>
  <c r="P558" i="121"/>
  <c r="K595" i="121"/>
  <c r="P595" i="121" s="1"/>
  <c r="O553" i="121"/>
  <c r="P581" i="121"/>
  <c r="O596" i="121"/>
  <c r="P579" i="121"/>
  <c r="O569" i="121"/>
  <c r="F165"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3" i="121" l="1"/>
  <c r="P563" i="121"/>
  <c r="P684" i="121" s="1"/>
  <c r="P589" i="121"/>
  <c r="P594" i="121"/>
  <c r="P590" i="121"/>
  <c r="P569" i="121"/>
  <c r="O514" i="121"/>
  <c r="P503" i="121"/>
  <c r="L517" i="121"/>
  <c r="L511" i="121"/>
  <c r="K505" i="121"/>
  <c r="K526" i="121" s="1"/>
  <c r="O511"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K511" i="121"/>
  <c r="K520" i="121"/>
  <c r="K514" i="121"/>
  <c r="K517" i="121"/>
  <c r="K523" i="121"/>
  <c r="K508" i="121"/>
  <c r="P505" i="121"/>
  <c r="K678" i="121" s="1"/>
  <c r="G720" i="121"/>
  <c r="G725" i="121" s="1"/>
  <c r="G733" i="121" s="1"/>
  <c r="G717" i="121"/>
  <c r="H716" i="121"/>
  <c r="H723" i="121"/>
  <c r="H721" i="121"/>
  <c r="H715" i="121"/>
  <c r="I714" i="121"/>
  <c r="K679" i="121" l="1"/>
  <c r="Q677" i="121"/>
  <c r="J487" i="121"/>
  <c r="P511" i="121"/>
  <c r="K512" i="121" s="1"/>
  <c r="K513" i="121" s="1"/>
  <c r="P514" i="121"/>
  <c r="P515" i="121" s="1"/>
  <c r="P516" i="121" s="1"/>
  <c r="J488" i="121"/>
  <c r="K677" i="121"/>
  <c r="K680" i="121"/>
  <c r="P517" i="121"/>
  <c r="K518" i="121" s="1"/>
  <c r="K519" i="121" s="1"/>
  <c r="K682" i="121"/>
  <c r="P508" i="121"/>
  <c r="P509" i="121" s="1"/>
  <c r="P510" i="121" s="1"/>
  <c r="K681" i="121"/>
  <c r="P526" i="121"/>
  <c r="N527" i="121" s="1"/>
  <c r="N528" i="121" s="1"/>
  <c r="P520" i="121"/>
  <c r="K521" i="121" s="1"/>
  <c r="K522" i="121" s="1"/>
  <c r="P523" i="121"/>
  <c r="L524" i="121" s="1"/>
  <c r="L525" i="121" s="1"/>
  <c r="H720" i="121"/>
  <c r="H725" i="121" s="1"/>
  <c r="H733" i="121" s="1"/>
  <c r="H717" i="121"/>
  <c r="I723" i="121"/>
  <c r="I721" i="121"/>
  <c r="I715" i="121"/>
  <c r="J714" i="121"/>
  <c r="I716" i="121"/>
  <c r="N524" i="121" l="1"/>
  <c r="N525" i="121" s="1"/>
  <c r="L521" i="121"/>
  <c r="L522" i="121" s="1"/>
  <c r="O512" i="121"/>
  <c r="O513" i="121" s="1"/>
  <c r="O524" i="121"/>
  <c r="O525" i="121" s="1"/>
  <c r="K524" i="121"/>
  <c r="K525" i="121" s="1"/>
  <c r="L518" i="121"/>
  <c r="L519" i="121" s="1"/>
  <c r="N518" i="121"/>
  <c r="N519" i="121" s="1"/>
  <c r="N512" i="121"/>
  <c r="N513" i="121" s="1"/>
  <c r="M518" i="121"/>
  <c r="M519" i="121" s="1"/>
  <c r="P512" i="121"/>
  <c r="P513" i="121" s="1"/>
  <c r="O518" i="121"/>
  <c r="O519" i="121" s="1"/>
  <c r="L512" i="121"/>
  <c r="L513" i="121" s="1"/>
  <c r="P518" i="121"/>
  <c r="P519" i="121" s="1"/>
  <c r="M512" i="121"/>
  <c r="M513" i="121" s="1"/>
  <c r="N509" i="121"/>
  <c r="N510" i="121" s="1"/>
  <c r="O521" i="121"/>
  <c r="O522" i="121" s="1"/>
  <c r="P521" i="121"/>
  <c r="P522" i="121" s="1"/>
  <c r="M527" i="121"/>
  <c r="M528" i="121" s="1"/>
  <c r="O527" i="121"/>
  <c r="O528" i="121" s="1"/>
  <c r="N521" i="121"/>
  <c r="N522" i="121" s="1"/>
  <c r="P527" i="121"/>
  <c r="P528" i="121" s="1"/>
  <c r="M521" i="121"/>
  <c r="M522" i="121" s="1"/>
  <c r="L515" i="121"/>
  <c r="L516" i="121" s="1"/>
  <c r="L509" i="121"/>
  <c r="L510" i="121" s="1"/>
  <c r="P524" i="121"/>
  <c r="P525" i="121" s="1"/>
  <c r="L527" i="121"/>
  <c r="L528" i="121" s="1"/>
  <c r="O515" i="121"/>
  <c r="O516" i="121" s="1"/>
  <c r="N515" i="121"/>
  <c r="N516" i="121" s="1"/>
  <c r="K509" i="121"/>
  <c r="K510" i="121" s="1"/>
  <c r="O509" i="121"/>
  <c r="O510" i="121" s="1"/>
  <c r="K527" i="121"/>
  <c r="K528" i="121" s="1"/>
  <c r="K515" i="121"/>
  <c r="K516" i="121" s="1"/>
  <c r="M509" i="121"/>
  <c r="M510" i="121" s="1"/>
  <c r="M515" i="121"/>
  <c r="M516" i="121" s="1"/>
  <c r="M524" i="121"/>
  <c r="M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D44" i="95"/>
  <c r="C44" i="95"/>
  <c r="B44" i="95"/>
  <c r="A44" i="95"/>
  <c r="D43" i="95"/>
  <c r="C43" i="95"/>
  <c r="B43" i="95"/>
  <c r="A43" i="95"/>
  <c r="D42" i="95"/>
  <c r="C42" i="95"/>
  <c r="B42" i="95"/>
  <c r="A42" i="95"/>
  <c r="D41" i="95"/>
  <c r="C41" i="95"/>
  <c r="B41" i="95"/>
  <c r="A41" i="95"/>
  <c r="D40" i="95"/>
  <c r="C40" i="95"/>
  <c r="B40" i="95"/>
  <c r="A40"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0" i="110" s="1"/>
  <c r="H20" i="110" s="1"/>
  <c r="H458" i="121" s="1"/>
  <c r="A458" i="121" s="1"/>
  <c r="K22" i="120"/>
  <c r="J19" i="110" s="1"/>
  <c r="H19" i="110" s="1"/>
  <c r="H457" i="121" s="1"/>
  <c r="A457" i="121" s="1"/>
  <c r="J22" i="120"/>
  <c r="J21" i="110" s="1"/>
  <c r="H21" i="110" s="1"/>
  <c r="H459" i="121" s="1"/>
  <c r="A459" i="121"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Q25" i="112"/>
  <c r="P25" i="112"/>
  <c r="O25" i="112"/>
  <c r="O1182" i="121" s="1"/>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7" i="111"/>
  <c r="A98" i="111" s="1"/>
  <c r="A128"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E108" i="107" s="1"/>
  <c r="J108" i="107"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3" i="106"/>
  <c r="P42" i="106"/>
  <c r="P41" i="106"/>
  <c r="P84" i="121" s="1"/>
  <c r="P40" i="106"/>
  <c r="P83" i="121" s="1"/>
  <c r="S37" i="106"/>
  <c r="L33" i="106"/>
  <c r="S19" i="106"/>
  <c r="S4" i="106"/>
  <c r="K29" i="105"/>
  <c r="K28" i="121" s="1"/>
  <c r="M67" i="85" l="1"/>
  <c r="C21" i="86"/>
  <c r="D21" i="86" s="1"/>
  <c r="E21" i="86" s="1"/>
  <c r="F21" i="86" s="1"/>
  <c r="G21" i="86" s="1"/>
  <c r="H21" i="86" s="1"/>
  <c r="I21" i="86" s="1"/>
  <c r="L95" i="121"/>
  <c r="N95" i="121" s="1"/>
  <c r="L94" i="121"/>
  <c r="N94" i="121" s="1"/>
  <c r="I9" i="121"/>
  <c r="L51" i="106"/>
  <c r="N51" i="106" s="1"/>
  <c r="L52" i="106"/>
  <c r="N52" i="106" s="1"/>
  <c r="I10" i="105"/>
  <c r="O117" i="112"/>
  <c r="O1274" i="121" s="1"/>
  <c r="O1278" i="121"/>
  <c r="Q108" i="112"/>
  <c r="O1265" i="121"/>
  <c r="Q1265" i="121" s="1"/>
  <c r="O89" i="112"/>
  <c r="O1246" i="121" s="1"/>
  <c r="O1249" i="121"/>
  <c r="L80" i="112"/>
  <c r="O1237" i="121"/>
  <c r="L1237" i="121" s="1"/>
  <c r="L25" i="112"/>
  <c r="Q1182" i="121"/>
  <c r="L1182" i="121"/>
  <c r="Q46" i="112"/>
  <c r="O1203" i="121"/>
  <c r="Q1203" i="121" s="1"/>
  <c r="O37" i="112"/>
  <c r="O1194" i="121" s="1"/>
  <c r="O1201" i="121"/>
  <c r="D121" i="111"/>
  <c r="E121" i="111"/>
  <c r="F121" i="111"/>
  <c r="B121" i="111"/>
  <c r="C121" i="111"/>
  <c r="E40" i="95"/>
  <c r="E42" i="95"/>
  <c r="E41" i="95"/>
  <c r="C53" i="82"/>
  <c r="C731" i="121"/>
  <c r="B53" i="82"/>
  <c r="B731" i="121"/>
  <c r="L37" i="110"/>
  <c r="M37" i="110" s="1"/>
  <c r="L36" i="110"/>
  <c r="M36" i="110" s="1"/>
  <c r="L45" i="110"/>
  <c r="M45" i="110" s="1"/>
  <c r="L29" i="110"/>
  <c r="M29" i="110" s="1"/>
  <c r="L33" i="110"/>
  <c r="M33" i="110" s="1"/>
  <c r="L34" i="110"/>
  <c r="M34" i="110" s="1"/>
  <c r="L44" i="110"/>
  <c r="M44" i="110" s="1"/>
  <c r="L25" i="110"/>
  <c r="M25" i="110" s="1"/>
  <c r="L26" i="110"/>
  <c r="M26" i="110" s="1"/>
  <c r="L24" i="110"/>
  <c r="M24" i="110" s="1"/>
  <c r="J22" i="110"/>
  <c r="J23" i="110"/>
  <c r="L28" i="110"/>
  <c r="M28" i="110" s="1"/>
  <c r="L42" i="110"/>
  <c r="M42" i="110" s="1"/>
  <c r="L48" i="110"/>
  <c r="M48" i="110" s="1"/>
  <c r="J459" i="121"/>
  <c r="L459" i="121" s="1"/>
  <c r="M459" i="121" s="1"/>
  <c r="L21" i="110"/>
  <c r="M21" i="110" s="1"/>
  <c r="J458" i="121"/>
  <c r="L458" i="121" s="1"/>
  <c r="M458" i="121" s="1"/>
  <c r="L20" i="110"/>
  <c r="M20" i="110" s="1"/>
  <c r="L31" i="110"/>
  <c r="M31" i="110" s="1"/>
  <c r="J469" i="121"/>
  <c r="L469" i="121" s="1"/>
  <c r="M469" i="121" s="1"/>
  <c r="L47" i="110"/>
  <c r="M47" i="110" s="1"/>
  <c r="J485" i="121"/>
  <c r="L485" i="121" s="1"/>
  <c r="M485" i="121" s="1"/>
  <c r="L46" i="110"/>
  <c r="M46" i="110" s="1"/>
  <c r="J484" i="121"/>
  <c r="L484" i="121" s="1"/>
  <c r="M484" i="121" s="1"/>
  <c r="L38" i="110"/>
  <c r="M38" i="110" s="1"/>
  <c r="J18" i="110"/>
  <c r="L40" i="110"/>
  <c r="M40" i="110" s="1"/>
  <c r="L27" i="110"/>
  <c r="M27" i="110" s="1"/>
  <c r="J465" i="121"/>
  <c r="L465" i="121" s="1"/>
  <c r="M465" i="121" s="1"/>
  <c r="L35" i="110"/>
  <c r="M35" i="110" s="1"/>
  <c r="J473" i="121"/>
  <c r="L473" i="121" s="1"/>
  <c r="M473" i="121" s="1"/>
  <c r="L43" i="110"/>
  <c r="M43" i="110" s="1"/>
  <c r="J481" i="121"/>
  <c r="L481" i="121" s="1"/>
  <c r="M481" i="121" s="1"/>
  <c r="L30" i="110"/>
  <c r="M30" i="110" s="1"/>
  <c r="L41" i="110"/>
  <c r="M41" i="110" s="1"/>
  <c r="L39" i="110"/>
  <c r="M39" i="110" s="1"/>
  <c r="J477" i="121"/>
  <c r="L477" i="121" s="1"/>
  <c r="M477" i="121" s="1"/>
  <c r="L32" i="110"/>
  <c r="M32" i="110" s="1"/>
  <c r="K144" i="112"/>
  <c r="L19" i="110"/>
  <c r="M19" i="110" s="1"/>
  <c r="J457" i="121"/>
  <c r="L457" i="121" s="1"/>
  <c r="M457" i="121" s="1"/>
  <c r="F122" i="107"/>
  <c r="F126" i="107"/>
  <c r="J146" i="107"/>
  <c r="J162" i="107" s="1"/>
  <c r="F38" i="107"/>
  <c r="F39" i="107"/>
  <c r="E40" i="107"/>
  <c r="E38" i="107"/>
  <c r="G43" i="107"/>
  <c r="G146" i="107"/>
  <c r="L34" i="106" s="1"/>
  <c r="L77" i="121" s="1"/>
  <c r="L78" i="121" s="1"/>
  <c r="S146" i="107"/>
  <c r="F26" i="111"/>
  <c r="G58" i="111"/>
  <c r="H90" i="111"/>
  <c r="G26" i="111"/>
  <c r="H58" i="111"/>
  <c r="I90" i="111"/>
  <c r="H26" i="111"/>
  <c r="B90" i="111"/>
  <c r="J90" i="111"/>
  <c r="B120" i="111"/>
  <c r="I26" i="111"/>
  <c r="B58" i="111"/>
  <c r="J58" i="111"/>
  <c r="C90" i="111"/>
  <c r="K90" i="111"/>
  <c r="C120" i="111"/>
  <c r="B26" i="111"/>
  <c r="J26" i="111"/>
  <c r="C58" i="111"/>
  <c r="K58" i="111"/>
  <c r="D90" i="111"/>
  <c r="D120" i="111"/>
  <c r="C26" i="111"/>
  <c r="K26" i="111"/>
  <c r="D58" i="111"/>
  <c r="E90" i="111"/>
  <c r="E120" i="111"/>
  <c r="I58" i="111"/>
  <c r="D26" i="111"/>
  <c r="E58" i="111"/>
  <c r="F90" i="111"/>
  <c r="F120" i="111"/>
  <c r="E26" i="111"/>
  <c r="F58" i="111"/>
  <c r="G90" i="111"/>
  <c r="H15" i="100"/>
  <c r="C44" i="90"/>
  <c r="O29" i="105"/>
  <c r="E18" i="89"/>
  <c r="J26" i="121"/>
  <c r="A45" i="121"/>
  <c r="A307" i="121"/>
  <c r="A2" i="105"/>
  <c r="A1" i="121" s="1"/>
  <c r="BC430" i="112"/>
  <c r="P1298" i="121"/>
  <c r="AZ443" i="112"/>
  <c r="P1488" i="121"/>
  <c r="O169" i="112"/>
  <c r="J378" i="112" s="1"/>
  <c r="K378" i="112"/>
  <c r="P1326" i="121"/>
  <c r="K1527" i="121" s="1"/>
  <c r="BB446" i="112"/>
  <c r="P1517" i="121"/>
  <c r="AZ437" i="112"/>
  <c r="P1414" i="121"/>
  <c r="AV432" i="112"/>
  <c r="O1317" i="121"/>
  <c r="K384" i="112"/>
  <c r="O1533" i="121"/>
  <c r="K1533" i="121" s="1"/>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1364" i="121" s="1"/>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AW429" i="112"/>
  <c r="P143" i="112"/>
  <c r="P1300" i="121" s="1"/>
  <c r="BB431" i="112"/>
  <c r="BA431" i="112"/>
  <c r="AZ431" i="112"/>
  <c r="AJ457" i="112"/>
  <c r="AZ436" i="112"/>
  <c r="BA436" i="112"/>
  <c r="J383" i="112"/>
  <c r="J1532" i="121" s="1"/>
  <c r="AI456" i="112"/>
  <c r="BB426" i="112"/>
  <c r="AZ426" i="112"/>
  <c r="BA426" i="112"/>
  <c r="BB429" i="112"/>
  <c r="BA429" i="112"/>
  <c r="AZ429" i="112"/>
  <c r="BB430" i="112"/>
  <c r="BA430" i="112"/>
  <c r="AZ430" i="112"/>
  <c r="P207" i="112"/>
  <c r="AJ449" i="112"/>
  <c r="AY429" i="112"/>
  <c r="AY431" i="112"/>
  <c r="AI458" i="112"/>
  <c r="K383" i="112"/>
  <c r="AJ458" i="112"/>
  <c r="F14" i="111"/>
  <c r="R117" i="111"/>
  <c r="S117" i="111"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B14" i="82" l="1"/>
  <c r="O1326" i="121"/>
  <c r="AW433" i="112"/>
  <c r="AV433" i="112"/>
  <c r="AV429" i="112"/>
  <c r="AY427" i="112"/>
  <c r="AX427" i="112"/>
  <c r="AV427" i="112"/>
  <c r="AW427" i="112"/>
  <c r="O55" i="112"/>
  <c r="O1212" i="121" s="1"/>
  <c r="O1235" i="121"/>
  <c r="O20" i="112"/>
  <c r="O1177" i="121" s="1"/>
  <c r="AY425" i="112"/>
  <c r="AV425" i="112"/>
  <c r="AW425" i="112"/>
  <c r="AX425" i="112"/>
  <c r="Q1201" i="121"/>
  <c r="L1194" i="121"/>
  <c r="E36" i="87"/>
  <c r="H791" i="121"/>
  <c r="H798" i="121" s="1"/>
  <c r="E40" i="87"/>
  <c r="B821" i="121"/>
  <c r="B828" i="121" s="1"/>
  <c r="B128" i="111"/>
  <c r="E34" i="87"/>
  <c r="F791" i="121"/>
  <c r="F798" i="121" s="1"/>
  <c r="F98" i="111"/>
  <c r="E44" i="87"/>
  <c r="F821" i="121"/>
  <c r="F828" i="121" s="1"/>
  <c r="F128" i="111"/>
  <c r="E43" i="87"/>
  <c r="E821" i="121"/>
  <c r="E828" i="121" s="1"/>
  <c r="E128" i="111"/>
  <c r="E32" i="87"/>
  <c r="D791" i="121"/>
  <c r="D798" i="121" s="1"/>
  <c r="E38" i="87"/>
  <c r="J791" i="121"/>
  <c r="J798" i="121" s="1"/>
  <c r="J98" i="111"/>
  <c r="E37" i="87"/>
  <c r="I791" i="121"/>
  <c r="I798" i="121" s="1"/>
  <c r="I98" i="111"/>
  <c r="H98" i="111"/>
  <c r="E41" i="87"/>
  <c r="C821" i="121"/>
  <c r="C828" i="121" s="1"/>
  <c r="C128" i="111"/>
  <c r="E39" i="87"/>
  <c r="K791" i="121"/>
  <c r="K798" i="121" s="1"/>
  <c r="K98" i="111"/>
  <c r="D98" i="111"/>
  <c r="E35" i="87"/>
  <c r="G791" i="121"/>
  <c r="G798" i="121" s="1"/>
  <c r="G98" i="111"/>
  <c r="E33" i="87"/>
  <c r="E791" i="121"/>
  <c r="E798" i="121" s="1"/>
  <c r="E98" i="111"/>
  <c r="E31" i="87"/>
  <c r="C791" i="121"/>
  <c r="C798" i="121" s="1"/>
  <c r="C98" i="111"/>
  <c r="E42" i="87"/>
  <c r="D821" i="121"/>
  <c r="D828" i="121" s="1"/>
  <c r="D128" i="111"/>
  <c r="H23" i="110"/>
  <c r="J456" i="121"/>
  <c r="H18" i="110"/>
  <c r="J460" i="121"/>
  <c r="H22" i="110"/>
  <c r="L22" i="110" s="1"/>
  <c r="M22" i="110" s="1"/>
  <c r="D53" i="82"/>
  <c r="D731" i="121"/>
  <c r="M158" i="110"/>
  <c r="J461" i="121"/>
  <c r="L18" i="110"/>
  <c r="M18" i="110" s="1"/>
  <c r="O118" i="110"/>
  <c r="K156" i="110"/>
  <c r="L152" i="110"/>
  <c r="O156" i="110"/>
  <c r="M155" i="110"/>
  <c r="M121" i="110"/>
  <c r="K115" i="110"/>
  <c r="P56" i="110"/>
  <c r="J25" i="95" s="1"/>
  <c r="O121" i="110"/>
  <c r="P94" i="110"/>
  <c r="P108" i="110"/>
  <c r="N100" i="110"/>
  <c r="N121" i="110"/>
  <c r="O157" i="110"/>
  <c r="P114" i="110"/>
  <c r="P162" i="110"/>
  <c r="M151" i="110"/>
  <c r="M115" i="110"/>
  <c r="P167" i="110"/>
  <c r="N118" i="110"/>
  <c r="I61" i="106"/>
  <c r="J164" i="107"/>
  <c r="J166" i="107" s="1"/>
  <c r="E3" i="86"/>
  <c r="B4" i="82"/>
  <c r="C18" i="100"/>
  <c r="I104" i="121"/>
  <c r="P94" i="121" s="1"/>
  <c r="J176" i="107"/>
  <c r="L35" i="106"/>
  <c r="B42" i="87"/>
  <c r="D820" i="121"/>
  <c r="B37" i="87"/>
  <c r="I790" i="121"/>
  <c r="B35" i="87"/>
  <c r="G790" i="121"/>
  <c r="B27" i="87"/>
  <c r="I758" i="121"/>
  <c r="B29" i="87"/>
  <c r="K758" i="121"/>
  <c r="B28" i="87"/>
  <c r="J758" i="121"/>
  <c r="B26" i="87"/>
  <c r="H758" i="121"/>
  <c r="B23" i="87"/>
  <c r="E758" i="121"/>
  <c r="B31" i="87"/>
  <c r="C790" i="121"/>
  <c r="B24" i="87"/>
  <c r="F758" i="121"/>
  <c r="B43" i="87"/>
  <c r="E820" i="121"/>
  <c r="B21" i="87"/>
  <c r="C758" i="121"/>
  <c r="B20" i="87"/>
  <c r="B758" i="121"/>
  <c r="B15" i="87"/>
  <c r="G726" i="121"/>
  <c r="B41" i="87"/>
  <c r="C820" i="121"/>
  <c r="B13" i="87"/>
  <c r="E726" i="121"/>
  <c r="B33" i="87"/>
  <c r="E790" i="121"/>
  <c r="B18" i="87"/>
  <c r="J726" i="121"/>
  <c r="B17" i="87"/>
  <c r="I726" i="121"/>
  <c r="B36" i="87"/>
  <c r="H790" i="121"/>
  <c r="B11" i="87"/>
  <c r="C726" i="121"/>
  <c r="B16" i="87"/>
  <c r="H726" i="121"/>
  <c r="B12" i="87"/>
  <c r="D726" i="121"/>
  <c r="B44" i="87"/>
  <c r="F820" i="121"/>
  <c r="B22" i="87"/>
  <c r="D758" i="121"/>
  <c r="B10" i="87"/>
  <c r="B726" i="121"/>
  <c r="B40" i="111"/>
  <c r="B40" i="87"/>
  <c r="B820" i="121"/>
  <c r="B25" i="87"/>
  <c r="G758" i="121"/>
  <c r="B30" i="87"/>
  <c r="B790" i="121"/>
  <c r="B39" i="87"/>
  <c r="K790" i="121"/>
  <c r="B32" i="87"/>
  <c r="D790" i="121"/>
  <c r="B34" i="87"/>
  <c r="F790" i="121"/>
  <c r="B19" i="87"/>
  <c r="K726" i="121"/>
  <c r="B38" i="87"/>
  <c r="J790" i="121"/>
  <c r="B14" i="87"/>
  <c r="F726" i="121"/>
  <c r="Q672" i="121"/>
  <c r="N28" i="121"/>
  <c r="P4" i="110"/>
  <c r="P442" i="121"/>
  <c r="O28" i="121"/>
  <c r="AZ442" i="112"/>
  <c r="P1480" i="121"/>
  <c r="O1300" i="121"/>
  <c r="J1400" i="121"/>
  <c r="O238" i="112"/>
  <c r="J382" i="112" s="1"/>
  <c r="J1531" i="121" s="1"/>
  <c r="P310" i="112"/>
  <c r="P1364" i="121"/>
  <c r="J1459" i="121"/>
  <c r="A123" i="110"/>
  <c r="O1488" i="121"/>
  <c r="R1488" i="121" s="1"/>
  <c r="A561" i="121"/>
  <c r="J310" i="112"/>
  <c r="J307" i="112"/>
  <c r="J1456" i="121" s="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P51" i="106" l="1"/>
  <c r="I45" i="106"/>
  <c r="B32" i="82" s="1"/>
  <c r="K375" i="112"/>
  <c r="AW426" i="112"/>
  <c r="AX426" i="112"/>
  <c r="AY426" i="112"/>
  <c r="AV426" i="112"/>
  <c r="AV424" i="112"/>
  <c r="AX424" i="112"/>
  <c r="AY424" i="112"/>
  <c r="AW424" i="112"/>
  <c r="H456" i="121"/>
  <c r="A456" i="121" s="1"/>
  <c r="E39" i="95"/>
  <c r="A18" i="110"/>
  <c r="H460" i="121"/>
  <c r="A460" i="121" s="1"/>
  <c r="E43" i="95"/>
  <c r="A22" i="110"/>
  <c r="H461" i="121"/>
  <c r="A461" i="121" s="1"/>
  <c r="E44" i="95"/>
  <c r="A23" i="110"/>
  <c r="L23" i="110"/>
  <c r="M23" i="110" s="1"/>
  <c r="M49" i="110" s="1"/>
  <c r="M50" i="110" s="1"/>
  <c r="B715" i="121" s="1"/>
  <c r="E53" i="82"/>
  <c r="E731" i="121"/>
  <c r="P152" i="110"/>
  <c r="Q161" i="110"/>
  <c r="Q599" i="121" s="1"/>
  <c r="Q169" i="110"/>
  <c r="Q607" i="121" s="1"/>
  <c r="Q165" i="110"/>
  <c r="Q603" i="121" s="1"/>
  <c r="P121" i="110"/>
  <c r="Q166" i="110"/>
  <c r="Q604" i="121" s="1"/>
  <c r="AD108" i="107"/>
  <c r="AF108" i="107" s="1"/>
  <c r="Q171" i="110"/>
  <c r="Q609" i="121" s="1"/>
  <c r="F57" i="89"/>
  <c r="P118" i="110"/>
  <c r="P52" i="106"/>
  <c r="P53" i="106" s="1"/>
  <c r="P95" i="121"/>
  <c r="P96" i="121" s="1"/>
  <c r="C10" i="86"/>
  <c r="B740" i="121"/>
  <c r="D766" i="121"/>
  <c r="D734" i="121"/>
  <c r="J734" i="121"/>
  <c r="E734" i="121"/>
  <c r="C797" i="121"/>
  <c r="C801" i="121"/>
  <c r="H766" i="121"/>
  <c r="H734" i="121"/>
  <c r="E797" i="121"/>
  <c r="E801" i="121"/>
  <c r="I766" i="121"/>
  <c r="H797" i="121"/>
  <c r="H801" i="121"/>
  <c r="K766" i="121"/>
  <c r="C827" i="121"/>
  <c r="C831" i="121"/>
  <c r="F797" i="121"/>
  <c r="F801" i="121"/>
  <c r="E827" i="121"/>
  <c r="E831" i="121"/>
  <c r="K797" i="121"/>
  <c r="K801" i="121"/>
  <c r="K734" i="121"/>
  <c r="G734" i="121"/>
  <c r="G797" i="121"/>
  <c r="G801" i="121"/>
  <c r="B827" i="121"/>
  <c r="B831" i="121"/>
  <c r="B766" i="121"/>
  <c r="C40" i="111"/>
  <c r="C766" i="121"/>
  <c r="F766" i="121"/>
  <c r="D827" i="121"/>
  <c r="D831" i="121"/>
  <c r="J766" i="121"/>
  <c r="I797" i="121"/>
  <c r="I801" i="121"/>
  <c r="F734" i="121"/>
  <c r="G766" i="121"/>
  <c r="J797" i="121"/>
  <c r="J801" i="121"/>
  <c r="D797" i="121"/>
  <c r="D801" i="121"/>
  <c r="B797" i="121"/>
  <c r="F831" i="121"/>
  <c r="F827" i="121"/>
  <c r="C734" i="121"/>
  <c r="I734" i="121"/>
  <c r="E766" i="121"/>
  <c r="AV430" i="112"/>
  <c r="AW430" i="112"/>
  <c r="AY430" i="112"/>
  <c r="O1298" i="121"/>
  <c r="AX430" i="112"/>
  <c r="O239" i="112"/>
  <c r="O1396" i="121" s="1"/>
  <c r="L238" i="112"/>
  <c r="J303" i="112"/>
  <c r="N228" i="112"/>
  <c r="AI457" i="112"/>
  <c r="AW436" i="112"/>
  <c r="AV436" i="112"/>
  <c r="O1395" i="121"/>
  <c r="L1395" i="121" s="1"/>
  <c r="J380" i="112"/>
  <c r="J1529" i="121" s="1"/>
  <c r="J1530" i="121"/>
  <c r="P303" i="112"/>
  <c r="P1459" i="121"/>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175" i="110" s="1"/>
  <c r="N613" i="121"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AX449" i="112" s="1"/>
  <c r="I368" i="112"/>
  <c r="H14" i="111"/>
  <c r="Q167" i="110"/>
  <c r="Q605" i="121" s="1"/>
  <c r="L175" i="110"/>
  <c r="L613" i="121" s="1"/>
  <c r="P157" i="110"/>
  <c r="K65" i="110"/>
  <c r="P63" i="110"/>
  <c r="Q164" i="110"/>
  <c r="Q602" i="121" s="1"/>
  <c r="K170" i="110"/>
  <c r="P168" i="110"/>
  <c r="Q163" i="110"/>
  <c r="Q601" i="121" s="1"/>
  <c r="P125" i="110"/>
  <c r="P131" i="110"/>
  <c r="P155" i="110"/>
  <c r="P111" i="110"/>
  <c r="P158" i="110"/>
  <c r="AY449" i="112" l="1"/>
  <c r="A487" i="121"/>
  <c r="A444" i="121" s="1"/>
  <c r="L456" i="121"/>
  <c r="M456" i="121" s="1"/>
  <c r="L461" i="121"/>
  <c r="M461" i="121" s="1"/>
  <c r="A49" i="110"/>
  <c r="A6" i="110" s="1"/>
  <c r="L460" i="121"/>
  <c r="M460" i="121" s="1"/>
  <c r="F53" i="82"/>
  <c r="F731" i="121"/>
  <c r="H621" i="121"/>
  <c r="B15" i="111"/>
  <c r="H15" i="111" s="1"/>
  <c r="H7" i="100"/>
  <c r="L73" i="110"/>
  <c r="N76" i="110"/>
  <c r="L82" i="110"/>
  <c r="N85" i="110"/>
  <c r="M88" i="110"/>
  <c r="N79" i="110"/>
  <c r="N88" i="110"/>
  <c r="M76" i="110"/>
  <c r="N73" i="110"/>
  <c r="M79" i="110"/>
  <c r="O85" i="110"/>
  <c r="P45" i="106"/>
  <c r="C135" i="90"/>
  <c r="D45" i="106"/>
  <c r="D88" i="121" s="1"/>
  <c r="I60" i="106"/>
  <c r="J177" i="107" s="1"/>
  <c r="J178" i="107" s="1"/>
  <c r="J180" i="107" s="1"/>
  <c r="I88" i="121"/>
  <c r="I103" i="121" s="1"/>
  <c r="I105" i="121" s="1"/>
  <c r="C740" i="121"/>
  <c r="D40" i="111"/>
  <c r="D10" i="86"/>
  <c r="AZ439" i="112"/>
  <c r="P1435" i="121"/>
  <c r="AW449" i="112"/>
  <c r="P1452" i="121"/>
  <c r="AZ440" i="112"/>
  <c r="AZ449" i="112" s="1"/>
  <c r="P407" i="112" s="1"/>
  <c r="AJ459" i="112"/>
  <c r="AV439" i="112"/>
  <c r="O1435" i="12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K172" i="110"/>
  <c r="P172" i="110" s="1"/>
  <c r="P170" i="110"/>
  <c r="P247" i="110"/>
  <c r="K67" i="110"/>
  <c r="P65" i="110"/>
  <c r="B15" i="82" l="1"/>
  <c r="J183" i="107"/>
  <c r="M487" i="121"/>
  <c r="M488" i="121" s="1"/>
  <c r="P621" i="121" s="1"/>
  <c r="G53" i="82"/>
  <c r="G731" i="121"/>
  <c r="P183" i="110"/>
  <c r="B716" i="121"/>
  <c r="F15" i="111"/>
  <c r="C52" i="100"/>
  <c r="C15" i="111"/>
  <c r="D15" i="111"/>
  <c r="B16" i="111"/>
  <c r="G15" i="111"/>
  <c r="E15" i="111"/>
  <c r="J277" i="121"/>
  <c r="J278" i="121" s="1"/>
  <c r="J280" i="121" s="1"/>
  <c r="M167" i="107"/>
  <c r="M168" i="107" s="1"/>
  <c r="M170" i="107" s="1"/>
  <c r="F168" i="121"/>
  <c r="F159" i="121"/>
  <c r="F158" i="121"/>
  <c r="F167" i="121"/>
  <c r="J168" i="121"/>
  <c r="J159" i="121"/>
  <c r="M277" i="121"/>
  <c r="M278" i="121" s="1"/>
  <c r="M280" i="121" s="1"/>
  <c r="P277" i="121"/>
  <c r="P278" i="121" s="1"/>
  <c r="P280" i="121" s="1"/>
  <c r="J287" i="121"/>
  <c r="J288" i="121" s="1"/>
  <c r="J290" i="121" s="1"/>
  <c r="J293" i="121" s="1"/>
  <c r="I62" i="106"/>
  <c r="P47" i="106" s="1"/>
  <c r="P90" i="121" s="1"/>
  <c r="E64" i="111"/>
  <c r="E764" i="121" s="1"/>
  <c r="B64" i="111"/>
  <c r="B764" i="121" s="1"/>
  <c r="P88" i="121"/>
  <c r="D64" i="111"/>
  <c r="H34" i="86" s="1"/>
  <c r="F64" i="111"/>
  <c r="C54" i="86" s="1"/>
  <c r="C64" i="111"/>
  <c r="G34" i="86" s="1"/>
  <c r="D740" i="121"/>
  <c r="E40" i="111"/>
  <c r="E10" i="86"/>
  <c r="P1556" i="121"/>
  <c r="P1163" i="121" s="1"/>
  <c r="P6" i="112"/>
  <c r="AV449" i="112"/>
  <c r="O407" i="112"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Q239" i="110"/>
  <c r="N239" i="110"/>
  <c r="P67" i="110"/>
  <c r="K175" i="110"/>
  <c r="K613" i="121" s="1"/>
  <c r="K85" i="110"/>
  <c r="K73" i="110"/>
  <c r="K82" i="110"/>
  <c r="K70" i="110"/>
  <c r="K76" i="110"/>
  <c r="K79" i="110"/>
  <c r="K88" i="110"/>
  <c r="B717" i="121" l="1"/>
  <c r="B720" i="121" s="1"/>
  <c r="B725" i="121" s="1"/>
  <c r="B733" i="121" s="1"/>
  <c r="I16" i="111"/>
  <c r="I17" i="111" s="1"/>
  <c r="I20" i="111" s="1"/>
  <c r="H53" i="82"/>
  <c r="H731" i="121"/>
  <c r="C53" i="100"/>
  <c r="C16" i="111"/>
  <c r="G16" i="111"/>
  <c r="E16" i="111"/>
  <c r="F16" i="111"/>
  <c r="H16" i="111"/>
  <c r="D16" i="111"/>
  <c r="B17" i="111"/>
  <c r="K6" i="111" s="1"/>
  <c r="J281" i="121"/>
  <c r="G258" i="121"/>
  <c r="P167" i="121"/>
  <c r="P158" i="121"/>
  <c r="J105" i="112"/>
  <c r="J1262" i="121" s="1"/>
  <c r="H1481" i="121"/>
  <c r="F243" i="121"/>
  <c r="E165" i="121"/>
  <c r="G164" i="121" s="1"/>
  <c r="D258" i="121"/>
  <c r="L1027" i="121"/>
  <c r="L1028" i="121" s="1"/>
  <c r="L1029" i="121"/>
  <c r="E197" i="121"/>
  <c r="J158" i="121"/>
  <c r="J167" i="121"/>
  <c r="C764" i="121"/>
  <c r="F34" i="86"/>
  <c r="I34" i="86"/>
  <c r="F764" i="121"/>
  <c r="D764" i="121"/>
  <c r="J170" i="107"/>
  <c r="J171" i="107" s="1"/>
  <c r="G15" i="82"/>
  <c r="E740" i="121"/>
  <c r="F40" i="111"/>
  <c r="F10" i="86"/>
  <c r="O1556" i="121"/>
  <c r="O1163" i="121" s="1"/>
  <c r="O6" i="112"/>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B734" i="121" l="1"/>
  <c r="B722" i="121"/>
  <c r="D17" i="111"/>
  <c r="D20" i="111" s="1"/>
  <c r="E17" i="111"/>
  <c r="E20" i="111" s="1"/>
  <c r="F17" i="111"/>
  <c r="F20" i="111" s="1"/>
  <c r="J22" i="111"/>
  <c r="G17" i="111"/>
  <c r="G20" i="111" s="1"/>
  <c r="B22" i="111"/>
  <c r="K8" i="111" s="1"/>
  <c r="H17" i="111"/>
  <c r="H20" i="111" s="1"/>
  <c r="H22" i="111"/>
  <c r="C17" i="111"/>
  <c r="C20" i="111" s="1"/>
  <c r="I22" i="111"/>
  <c r="I53" i="82"/>
  <c r="I731" i="121"/>
  <c r="J4" i="91"/>
  <c r="L4" i="95"/>
  <c r="B20" i="111"/>
  <c r="C54" i="100"/>
  <c r="E13" i="86"/>
  <c r="G13" i="86"/>
  <c r="D13" i="86"/>
  <c r="I13" i="86"/>
  <c r="AF125" i="107"/>
  <c r="AH125" i="107" s="1"/>
  <c r="AF122" i="107"/>
  <c r="AH122" i="107" s="1"/>
  <c r="H13" i="86"/>
  <c r="F13" i="86"/>
  <c r="F740" i="121"/>
  <c r="G40" i="111"/>
  <c r="G10" i="86"/>
  <c r="M74" i="112"/>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1231" i="121" l="1"/>
  <c r="J76" i="112"/>
  <c r="J1233" i="121" s="1"/>
  <c r="E22" i="111"/>
  <c r="D22" i="111"/>
  <c r="G22" i="111"/>
  <c r="C22" i="111"/>
  <c r="F22" i="111"/>
  <c r="Q662" i="121"/>
  <c r="Q224" i="110"/>
  <c r="J53" i="82"/>
  <c r="J731" i="121"/>
  <c r="E127" i="107"/>
  <c r="A127" i="107" s="1"/>
  <c r="G740" i="121"/>
  <c r="H40" i="111"/>
  <c r="I10" i="86" s="1"/>
  <c r="H10" i="86"/>
  <c r="C46" i="111"/>
  <c r="B55" i="111"/>
  <c r="F33" i="86" s="1"/>
  <c r="B47" i="111"/>
  <c r="B48" i="111"/>
  <c r="K17" i="111"/>
  <c r="K20" i="111" s="1"/>
  <c r="K22" i="111" l="1"/>
  <c r="Q232" i="110"/>
  <c r="O225" i="110"/>
  <c r="O226" i="110"/>
  <c r="O664" i="121"/>
  <c r="O663" i="121"/>
  <c r="Q670" i="121"/>
  <c r="K53" i="82"/>
  <c r="K731" i="121"/>
  <c r="H740" i="121"/>
  <c r="I40" i="111"/>
  <c r="B49" i="111"/>
  <c r="B52" i="111" s="1"/>
  <c r="D46" i="111"/>
  <c r="C47" i="111"/>
  <c r="C55" i="111"/>
  <c r="G33" i="86" s="1"/>
  <c r="C48" i="111"/>
  <c r="B54" i="111" l="1"/>
  <c r="P671" i="121"/>
  <c r="Q689" i="121"/>
  <c r="N670" i="121"/>
  <c r="F130" i="107"/>
  <c r="B21" i="111"/>
  <c r="D53" i="111" s="1"/>
  <c r="F240" i="121"/>
  <c r="B721" i="121"/>
  <c r="B739" i="121" s="1"/>
  <c r="Q251" i="110"/>
  <c r="P233" i="110"/>
  <c r="B73" i="82"/>
  <c r="B763" i="121"/>
  <c r="I740" i="121"/>
  <c r="J40" i="111"/>
  <c r="C30" i="86"/>
  <c r="C49" i="111"/>
  <c r="C52" i="111" s="1"/>
  <c r="E46" i="111"/>
  <c r="D47" i="111"/>
  <c r="D55" i="111"/>
  <c r="H33" i="86" s="1"/>
  <c r="D48" i="111"/>
  <c r="C54" i="111" l="1"/>
  <c r="C21" i="111"/>
  <c r="H21" i="111"/>
  <c r="G21" i="111"/>
  <c r="D21" i="111"/>
  <c r="E21" i="111"/>
  <c r="F21" i="111"/>
  <c r="I21" i="111"/>
  <c r="J21" i="111"/>
  <c r="K21" i="111"/>
  <c r="B25" i="111"/>
  <c r="B53" i="111"/>
  <c r="B39" i="111"/>
  <c r="C53" i="111"/>
  <c r="C71" i="111" s="1"/>
  <c r="C57" i="111"/>
  <c r="C64" i="82" s="1"/>
  <c r="C73" i="82"/>
  <c r="C763" i="121"/>
  <c r="J740" i="121"/>
  <c r="K40" i="111"/>
  <c r="D30" i="86"/>
  <c r="D49" i="111"/>
  <c r="D52" i="111" s="1"/>
  <c r="F46" i="111"/>
  <c r="E47" i="111"/>
  <c r="E55" i="111"/>
  <c r="I33" i="86" s="1"/>
  <c r="E53" i="111"/>
  <c r="E48" i="111"/>
  <c r="C66" i="111" l="1"/>
  <c r="F39" i="111"/>
  <c r="F25" i="111"/>
  <c r="D39" i="111"/>
  <c r="D25" i="111"/>
  <c r="B71" i="111"/>
  <c r="B57" i="111"/>
  <c r="G39" i="111"/>
  <c r="G25" i="111"/>
  <c r="I39" i="111"/>
  <c r="I25" i="111"/>
  <c r="B44" i="82"/>
  <c r="B34" i="111"/>
  <c r="H39" i="111"/>
  <c r="H25" i="111"/>
  <c r="E39" i="111"/>
  <c r="E25" i="111"/>
  <c r="C39" i="111"/>
  <c r="C25" i="111"/>
  <c r="K39" i="111"/>
  <c r="K25" i="111"/>
  <c r="J39" i="111"/>
  <c r="J25" i="111"/>
  <c r="D54" i="111"/>
  <c r="D71" i="111" s="1"/>
  <c r="D73" i="82"/>
  <c r="D763" i="121"/>
  <c r="K740" i="121"/>
  <c r="B72" i="111"/>
  <c r="E30" i="86"/>
  <c r="G46" i="111"/>
  <c r="F55" i="111"/>
  <c r="C53" i="86" s="1"/>
  <c r="F47" i="111"/>
  <c r="F53" i="111"/>
  <c r="F48" i="111"/>
  <c r="E49" i="111"/>
  <c r="E52" i="111" s="1"/>
  <c r="V176" i="72"/>
  <c r="V177" i="72"/>
  <c r="D57" i="111" l="1"/>
  <c r="B64" i="82"/>
  <c r="B66" i="111"/>
  <c r="D34" i="111"/>
  <c r="D44" i="82"/>
  <c r="J34" i="111"/>
  <c r="J44" i="82"/>
  <c r="E44" i="82"/>
  <c r="E34" i="111"/>
  <c r="E54" i="111"/>
  <c r="E71" i="111" s="1"/>
  <c r="C34" i="111"/>
  <c r="C44" i="82"/>
  <c r="I44" i="82"/>
  <c r="I34" i="111"/>
  <c r="K34" i="111"/>
  <c r="K44" i="82"/>
  <c r="H44" i="82"/>
  <c r="H34" i="111"/>
  <c r="F44" i="82"/>
  <c r="F34" i="111"/>
  <c r="G44" i="82"/>
  <c r="G34" i="111"/>
  <c r="E73" i="82"/>
  <c r="E763" i="121"/>
  <c r="B772" i="121"/>
  <c r="C72" i="111"/>
  <c r="F30" i="86"/>
  <c r="H46" i="111"/>
  <c r="G47" i="111"/>
  <c r="G53" i="111"/>
  <c r="G55" i="111"/>
  <c r="D53" i="86" s="1"/>
  <c r="G48" i="111"/>
  <c r="F49" i="111"/>
  <c r="F52" i="111" s="1"/>
  <c r="E57" i="111" l="1"/>
  <c r="G54" i="111"/>
  <c r="G71" i="111" s="1"/>
  <c r="D64" i="82"/>
  <c r="D66" i="111"/>
  <c r="F54" i="111"/>
  <c r="F71" i="111" s="1"/>
  <c r="F73" i="82"/>
  <c r="F763" i="121"/>
  <c r="C772" i="121"/>
  <c r="D72" i="111"/>
  <c r="G30" i="86"/>
  <c r="I46" i="111"/>
  <c r="H55" i="111"/>
  <c r="E53" i="86" s="1"/>
  <c r="H47" i="111"/>
  <c r="H53" i="111"/>
  <c r="H48" i="111"/>
  <c r="G49" i="111"/>
  <c r="G52" i="111" s="1"/>
  <c r="F57" i="111" l="1"/>
  <c r="G57" i="111"/>
  <c r="G66" i="111" s="1"/>
  <c r="E64" i="82"/>
  <c r="E66" i="111"/>
  <c r="G73" i="82"/>
  <c r="G763" i="121"/>
  <c r="G64" i="82"/>
  <c r="D772" i="121"/>
  <c r="E72" i="111"/>
  <c r="H30" i="86"/>
  <c r="J46" i="111"/>
  <c r="I47" i="111"/>
  <c r="I53" i="111"/>
  <c r="I55" i="111"/>
  <c r="F53" i="86" s="1"/>
  <c r="I48" i="111"/>
  <c r="H49" i="111"/>
  <c r="H52" i="111" s="1"/>
  <c r="H54" i="111" l="1"/>
  <c r="H71" i="111" s="1"/>
  <c r="F66" i="111"/>
  <c r="F64" i="82"/>
  <c r="H73" i="82"/>
  <c r="H763" i="121"/>
  <c r="E772" i="121"/>
  <c r="F72" i="111"/>
  <c r="I30" i="86"/>
  <c r="K46" i="111"/>
  <c r="J55" i="111"/>
  <c r="G53" i="86" s="1"/>
  <c r="J53" i="111"/>
  <c r="J47" i="111"/>
  <c r="J48" i="111"/>
  <c r="I49" i="111"/>
  <c r="I52" i="111" s="1"/>
  <c r="H57" i="111" l="1"/>
  <c r="I54" i="111"/>
  <c r="I71" i="111" s="1"/>
  <c r="I73" i="82"/>
  <c r="I763" i="121"/>
  <c r="F772" i="121"/>
  <c r="G72" i="111"/>
  <c r="C50" i="86"/>
  <c r="J49" i="111"/>
  <c r="J52" i="111" s="1"/>
  <c r="B78" i="111"/>
  <c r="K53" i="111"/>
  <c r="K55" i="111"/>
  <c r="H53" i="86" s="1"/>
  <c r="K47" i="111"/>
  <c r="K48" i="111"/>
  <c r="I133" i="73"/>
  <c r="G59" i="93"/>
  <c r="G61" i="93"/>
  <c r="O138" i="72"/>
  <c r="H64" i="82" l="1"/>
  <c r="H66" i="111"/>
  <c r="J54" i="111"/>
  <c r="J71" i="111" s="1"/>
  <c r="I57" i="111"/>
  <c r="J73" i="82"/>
  <c r="J763" i="121"/>
  <c r="G772" i="121"/>
  <c r="H72" i="111"/>
  <c r="D50" i="86"/>
  <c r="K49" i="111"/>
  <c r="K52" i="111" s="1"/>
  <c r="C78" i="111"/>
  <c r="B85" i="111"/>
  <c r="B87" i="111"/>
  <c r="B79" i="111"/>
  <c r="B80" i="111"/>
  <c r="G62" i="93"/>
  <c r="G63" i="93"/>
  <c r="G58" i="93"/>
  <c r="G60" i="93"/>
  <c r="P47" i="72"/>
  <c r="P46" i="72"/>
  <c r="P45" i="72"/>
  <c r="K54" i="111" l="1"/>
  <c r="K71" i="111" s="1"/>
  <c r="I64" i="82"/>
  <c r="I66" i="111"/>
  <c r="J57" i="111"/>
  <c r="B95" i="111"/>
  <c r="K73" i="82"/>
  <c r="K763" i="121"/>
  <c r="H772" i="121"/>
  <c r="I72" i="111"/>
  <c r="E50" i="86"/>
  <c r="B81" i="111"/>
  <c r="B84" i="111" s="1"/>
  <c r="D78" i="111"/>
  <c r="C79" i="111"/>
  <c r="C87" i="111"/>
  <c r="C85" i="111"/>
  <c r="C80" i="111"/>
  <c r="AB57" i="72"/>
  <c r="AB58" i="72"/>
  <c r="AB59" i="72"/>
  <c r="AB60" i="72"/>
  <c r="AB61" i="72"/>
  <c r="Z56" i="72"/>
  <c r="AI35" i="72"/>
  <c r="AH35" i="72"/>
  <c r="AG35" i="72"/>
  <c r="AF35" i="72"/>
  <c r="AE35" i="72"/>
  <c r="AD35" i="72"/>
  <c r="K57" i="111" l="1"/>
  <c r="K66" i="111" s="1"/>
  <c r="J64" i="82"/>
  <c r="J66" i="111"/>
  <c r="B86" i="111"/>
  <c r="B102" i="111" s="1"/>
  <c r="C95" i="111"/>
  <c r="B795" i="121"/>
  <c r="I772" i="121"/>
  <c r="J72" i="111"/>
  <c r="F50" i="86"/>
  <c r="E78" i="111"/>
  <c r="D79" i="111"/>
  <c r="D85" i="111"/>
  <c r="D87" i="111"/>
  <c r="D80" i="111"/>
  <c r="C81" i="111"/>
  <c r="C84" i="111" s="1"/>
  <c r="R344" i="72"/>
  <c r="D4" i="93"/>
  <c r="K64" i="82" l="1"/>
  <c r="B89" i="111"/>
  <c r="C86" i="111"/>
  <c r="C102" i="111" s="1"/>
  <c r="D95" i="111"/>
  <c r="C795" i="121"/>
  <c r="J772" i="121"/>
  <c r="K72" i="11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D86" i="111"/>
  <c r="D102" i="111" s="1"/>
  <c r="B97" i="111"/>
  <c r="E95" i="111"/>
  <c r="D795" i="121"/>
  <c r="K772" i="121"/>
  <c r="L100" i="85"/>
  <c r="L70" i="85"/>
  <c r="B103" i="111"/>
  <c r="H50" i="86"/>
  <c r="E81" i="111"/>
  <c r="E84" i="111" s="1"/>
  <c r="G78" i="111"/>
  <c r="F85" i="111"/>
  <c r="F87" i="111"/>
  <c r="F79" i="111"/>
  <c r="F80" i="111"/>
  <c r="E16" i="100"/>
  <c r="F19" i="85" s="1"/>
  <c r="C16" i="100"/>
  <c r="C14" i="100"/>
  <c r="I68" i="100"/>
  <c r="G68" i="100"/>
  <c r="E68" i="100"/>
  <c r="K68" i="100"/>
  <c r="I66" i="100"/>
  <c r="G66" i="100"/>
  <c r="E66" i="100"/>
  <c r="I61" i="100"/>
  <c r="G61" i="100"/>
  <c r="E61" i="100"/>
  <c r="K61" i="100"/>
  <c r="I60" i="100"/>
  <c r="G60" i="100"/>
  <c r="E60" i="100"/>
  <c r="I59" i="100"/>
  <c r="G59" i="100"/>
  <c r="I58" i="100"/>
  <c r="C34" i="100"/>
  <c r="C29" i="100"/>
  <c r="K33" i="100" s="1"/>
  <c r="D89" i="111" l="1"/>
  <c r="D96" i="111" s="1"/>
  <c r="D796" i="121" s="1"/>
  <c r="C96" i="111"/>
  <c r="C796" i="121" s="1"/>
  <c r="C101" i="111"/>
  <c r="C97" i="111"/>
  <c r="F86" i="111"/>
  <c r="F102" i="111" s="1"/>
  <c r="D97" i="111"/>
  <c r="E86" i="111"/>
  <c r="E102" i="111" s="1"/>
  <c r="F95" i="111"/>
  <c r="E795" i="121"/>
  <c r="B803" i="121"/>
  <c r="C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D101" i="111" l="1"/>
  <c r="F89" i="111"/>
  <c r="F97" i="111" s="1"/>
  <c r="E89" i="111"/>
  <c r="G95" i="111"/>
  <c r="F795" i="121"/>
  <c r="F96" i="111"/>
  <c r="F796" i="121" s="1"/>
  <c r="C803" i="121"/>
  <c r="D103" i="111"/>
  <c r="G81" i="111"/>
  <c r="G84" i="111" s="1"/>
  <c r="I78" i="111"/>
  <c r="H79" i="111"/>
  <c r="H85" i="111"/>
  <c r="H87" i="111"/>
  <c r="H80" i="111"/>
  <c r="E62" i="100"/>
  <c r="K37" i="100"/>
  <c r="C40" i="100"/>
  <c r="K35" i="100"/>
  <c r="K62" i="100"/>
  <c r="F101" i="111" l="1"/>
  <c r="E96" i="111"/>
  <c r="E796" i="121" s="1"/>
  <c r="E101" i="111"/>
  <c r="E97" i="111"/>
  <c r="G86" i="111"/>
  <c r="G102" i="111" s="1"/>
  <c r="H86" i="111"/>
  <c r="H102" i="111" s="1"/>
  <c r="H95" i="111"/>
  <c r="G795" i="121"/>
  <c r="D803" i="121"/>
  <c r="E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H89" i="111"/>
  <c r="H97" i="111" s="1"/>
  <c r="I86" i="111"/>
  <c r="I102" i="111" s="1"/>
  <c r="I95" i="111"/>
  <c r="H795" i="121"/>
  <c r="H96" i="111"/>
  <c r="H796" i="121" s="1"/>
  <c r="E803" i="121"/>
  <c r="F103" i="111"/>
  <c r="I81" i="111"/>
  <c r="I84" i="111" s="1"/>
  <c r="K78" i="111"/>
  <c r="J87" i="111"/>
  <c r="J85" i="111"/>
  <c r="J79" i="111"/>
  <c r="J80" i="111"/>
  <c r="H101" i="111" l="1"/>
  <c r="I89" i="111"/>
  <c r="I96" i="111" s="1"/>
  <c r="I796" i="121" s="1"/>
  <c r="G97" i="111"/>
  <c r="G101" i="111"/>
  <c r="G96" i="111"/>
  <c r="G796" i="121" s="1"/>
  <c r="J95" i="111"/>
  <c r="I795" i="121"/>
  <c r="F803" i="121"/>
  <c r="G103" i="111"/>
  <c r="J81" i="111"/>
  <c r="J84" i="111" s="1"/>
  <c r="B108" i="111"/>
  <c r="K85" i="111"/>
  <c r="K87" i="111"/>
  <c r="K79" i="111"/>
  <c r="K80" i="111"/>
  <c r="F18" i="85"/>
  <c r="I97" i="111" l="1"/>
  <c r="I101" i="111"/>
  <c r="J86" i="111"/>
  <c r="J102" i="111" s="1"/>
  <c r="K95" i="111"/>
  <c r="J795" i="121"/>
  <c r="G803" i="121"/>
  <c r="H103" i="111"/>
  <c r="C108" i="111"/>
  <c r="B109" i="111"/>
  <c r="B117" i="111"/>
  <c r="B115" i="111"/>
  <c r="B110" i="111"/>
  <c r="K81" i="111"/>
  <c r="K84" i="111" s="1"/>
  <c r="E242" i="72"/>
  <c r="K86" i="111" l="1"/>
  <c r="K102" i="111" s="1"/>
  <c r="J89" i="111"/>
  <c r="B125" i="111"/>
  <c r="K795" i="121"/>
  <c r="H803" i="121"/>
  <c r="I103" i="111"/>
  <c r="B111" i="111"/>
  <c r="B114" i="111" s="1"/>
  <c r="D108" i="111"/>
  <c r="C109" i="111"/>
  <c r="C117" i="111"/>
  <c r="C115" i="111"/>
  <c r="C110" i="111"/>
  <c r="Q295" i="72"/>
  <c r="Q298" i="72"/>
  <c r="Q94" i="72"/>
  <c r="Q312" i="72"/>
  <c r="Q311" i="72"/>
  <c r="K89" i="111" l="1"/>
  <c r="J97" i="111"/>
  <c r="J96" i="111"/>
  <c r="J796" i="121" s="1"/>
  <c r="J101" i="111"/>
  <c r="B116" i="111"/>
  <c r="B132" i="111" s="1"/>
  <c r="C125" i="111"/>
  <c r="B825" i="121"/>
  <c r="I803" i="121"/>
  <c r="J103" i="111"/>
  <c r="E108" i="111"/>
  <c r="D115" i="111"/>
  <c r="D109" i="111"/>
  <c r="D117" i="111"/>
  <c r="D110" i="111"/>
  <c r="C111" i="111"/>
  <c r="C114" i="111" s="1"/>
  <c r="I91" i="72"/>
  <c r="K101" i="111" l="1"/>
  <c r="K97" i="111"/>
  <c r="K96" i="111"/>
  <c r="K796" i="121" s="1"/>
  <c r="B119" i="111"/>
  <c r="C116" i="111"/>
  <c r="C132" i="111" s="1"/>
  <c r="D116" i="111"/>
  <c r="D132" i="111" s="1"/>
  <c r="D125" i="111"/>
  <c r="C825" i="121"/>
  <c r="J803" i="121"/>
  <c r="K103" i="111"/>
  <c r="D111" i="111"/>
  <c r="D114" i="111" s="1"/>
  <c r="F108" i="111"/>
  <c r="E109" i="111"/>
  <c r="E115" i="111"/>
  <c r="E117" i="111"/>
  <c r="E110" i="111"/>
  <c r="L285" i="72"/>
  <c r="C119" i="111" l="1"/>
  <c r="C127" i="111" s="1"/>
  <c r="B126" i="111"/>
  <c r="B127" i="111"/>
  <c r="B131" i="111"/>
  <c r="C126" i="111"/>
  <c r="D119" i="111"/>
  <c r="D126" i="111" s="1"/>
  <c r="E116" i="111"/>
  <c r="E132" i="111" s="1"/>
  <c r="E125" i="111"/>
  <c r="D825" i="121"/>
  <c r="K803" i="121"/>
  <c r="B133" i="111"/>
  <c r="F109" i="111"/>
  <c r="F117" i="111"/>
  <c r="F115" i="111"/>
  <c r="F110" i="111"/>
  <c r="E111" i="111"/>
  <c r="E114" i="111" s="1"/>
  <c r="Q339" i="73"/>
  <c r="H152" i="72"/>
  <c r="C131" i="111" l="1"/>
  <c r="D127" i="111"/>
  <c r="F116" i="111"/>
  <c r="F132" i="111" s="1"/>
  <c r="D131" i="111"/>
  <c r="E119" i="111"/>
  <c r="E131" i="111" s="1"/>
  <c r="F125" i="111"/>
  <c r="F825" i="121" s="1"/>
  <c r="E825" i="121"/>
  <c r="E126" i="111"/>
  <c r="B833" i="121"/>
  <c r="C133" i="111"/>
  <c r="F111" i="111"/>
  <c r="F114" i="111" s="1"/>
  <c r="L184" i="72"/>
  <c r="E127" i="111" l="1"/>
  <c r="F119" i="111"/>
  <c r="F126" i="111" s="1"/>
  <c r="F131" i="111"/>
  <c r="F127" i="111"/>
  <c r="C833" i="121"/>
  <c r="D133" i="111"/>
  <c r="L242" i="72"/>
  <c r="P225" i="72"/>
  <c r="R225" i="72"/>
  <c r="Q18" i="72"/>
  <c r="D833" i="121" l="1"/>
  <c r="E133" i="111"/>
  <c r="F31" i="72"/>
  <c r="F30" i="72"/>
  <c r="E30" i="72"/>
  <c r="F29" i="72"/>
  <c r="E29" i="72"/>
  <c r="F28" i="72"/>
  <c r="F27" i="72"/>
  <c r="F26" i="72"/>
  <c r="N210" i="73"/>
  <c r="J274" i="72"/>
  <c r="K226" i="72"/>
  <c r="J113" i="72"/>
  <c r="M56" i="73"/>
  <c r="F24" i="72"/>
  <c r="F23" i="72"/>
  <c r="F22" i="72"/>
  <c r="P310" i="72"/>
  <c r="E24" i="72"/>
  <c r="E833" i="121" l="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G56" i="100"/>
  <c r="G64" i="100" s="1"/>
  <c r="G70" i="100" s="1"/>
  <c r="P89" i="72"/>
  <c r="O89" i="72"/>
  <c r="G51" i="82" l="1"/>
  <c r="B51" i="82"/>
  <c r="P91" i="72"/>
  <c r="O442" i="72"/>
  <c r="Y37" i="72"/>
  <c r="X37" i="72"/>
  <c r="AD37" i="72"/>
  <c r="AE37" i="72"/>
  <c r="C51" i="82" l="1"/>
  <c r="D51" i="82"/>
  <c r="E51" i="82"/>
  <c r="F51" i="82"/>
  <c r="I51" i="82"/>
  <c r="H51" i="82"/>
  <c r="J51" i="82" l="1"/>
  <c r="K51" i="82" l="1"/>
  <c r="B71" i="82" l="1"/>
  <c r="C71" i="82" l="1"/>
  <c r="E71" i="82" l="1"/>
  <c r="D71" i="82"/>
  <c r="F71" i="82" l="1"/>
  <c r="O8" i="86" l="1"/>
  <c r="O14" i="86" s="1"/>
  <c r="O33" i="86" s="1"/>
  <c r="H63" i="86" s="1"/>
  <c r="G71" i="82"/>
  <c r="C86" i="90" l="1"/>
  <c r="F61" i="89"/>
  <c r="H71" i="82"/>
  <c r="I71" i="82" l="1"/>
  <c r="J71" i="82" l="1"/>
  <c r="K71" i="82" l="1"/>
  <c r="E15" i="72" l="1"/>
  <c r="E20" i="72" l="1"/>
  <c r="E21" i="72" l="1"/>
  <c r="E16" i="72" l="1"/>
  <c r="P233" i="72"/>
  <c r="P442" i="72" s="1"/>
  <c r="O6" i="72" l="1"/>
  <c r="L233" i="72"/>
  <c r="L191" i="72"/>
  <c r="AE45" i="72"/>
  <c r="AE63" i="72" s="1"/>
  <c r="AD45" i="72"/>
  <c r="AD63" i="72" s="1"/>
  <c r="Y45" i="72"/>
  <c r="Y63" i="72" s="1"/>
  <c r="X45" i="72"/>
  <c r="X63" i="72" s="1"/>
  <c r="P6" i="72"/>
  <c r="E19" i="72"/>
  <c r="B791" i="121" l="1"/>
  <c r="B798" i="121" s="1"/>
  <c r="B801" i="121"/>
  <c r="B96" i="111"/>
  <c r="B796" i="121" s="1"/>
  <c r="B98" i="111"/>
  <c r="B101" i="111"/>
  <c r="E30" i="87"/>
  <c r="B65" i="82"/>
  <c r="C65" i="82"/>
  <c r="D65" i="82"/>
  <c r="E65" i="82"/>
  <c r="F65" i="82"/>
  <c r="G65" i="82"/>
  <c r="H65" i="82"/>
  <c r="I65" i="82"/>
  <c r="I66" i="82" s="1"/>
  <c r="J65" i="82"/>
  <c r="K65" i="82"/>
  <c r="B66" i="82"/>
  <c r="C66" i="82"/>
  <c r="D66" i="82"/>
  <c r="E66" i="82"/>
  <c r="F66" i="82"/>
  <c r="G66" i="82"/>
  <c r="H66" i="82"/>
  <c r="J66" i="82"/>
  <c r="K66" i="82"/>
  <c r="B759" i="121"/>
  <c r="C759" i="121"/>
  <c r="D759" i="121"/>
  <c r="E759" i="121"/>
  <c r="F759" i="121"/>
  <c r="G759" i="121"/>
  <c r="H759" i="121"/>
  <c r="I759" i="121"/>
  <c r="J759" i="121"/>
  <c r="K759" i="121"/>
  <c r="B767" i="121"/>
  <c r="D767" i="121"/>
  <c r="E767" i="121"/>
  <c r="F767" i="121"/>
  <c r="G767" i="121"/>
  <c r="H767" i="121"/>
  <c r="I767" i="121"/>
  <c r="J767" i="121"/>
  <c r="B770" i="121"/>
  <c r="D770" i="121"/>
  <c r="E770" i="121"/>
  <c r="F770" i="121"/>
  <c r="G770" i="121"/>
  <c r="H770" i="121"/>
  <c r="I770" i="121"/>
  <c r="J770" i="121"/>
  <c r="B65" i="111"/>
  <c r="F29" i="86" s="1"/>
  <c r="C65" i="111"/>
  <c r="G29" i="86" s="1"/>
  <c r="D65" i="111"/>
  <c r="H29" i="86" s="1"/>
  <c r="E65" i="111"/>
  <c r="I29" i="86" s="1"/>
  <c r="F65" i="111"/>
  <c r="C49" i="86" s="1"/>
  <c r="G65" i="111"/>
  <c r="H65" i="111"/>
  <c r="I65" i="111"/>
  <c r="J65" i="111"/>
  <c r="K65" i="111"/>
  <c r="B67" i="111"/>
  <c r="C67" i="111"/>
  <c r="D67" i="111"/>
  <c r="E67" i="111"/>
  <c r="F67" i="111"/>
  <c r="G67" i="111"/>
  <c r="H67" i="111"/>
  <c r="I67" i="111"/>
  <c r="J67" i="111"/>
  <c r="K67" i="111"/>
  <c r="B70" i="111"/>
  <c r="C70" i="111"/>
  <c r="D70" i="111"/>
  <c r="E70" i="111"/>
  <c r="F70" i="111"/>
  <c r="G70" i="111"/>
  <c r="H70" i="111"/>
  <c r="I70" i="111"/>
  <c r="J70" i="111"/>
  <c r="K70" i="111"/>
  <c r="E20" i="87"/>
  <c r="E21" i="87"/>
  <c r="E22" i="87"/>
  <c r="E23" i="87"/>
  <c r="E24" i="87"/>
  <c r="E25" i="87"/>
  <c r="E26" i="87"/>
  <c r="E27" i="87"/>
  <c r="E28" i="87"/>
  <c r="E29" i="87"/>
  <c r="K767" i="121" l="1"/>
  <c r="K770" i="121"/>
  <c r="C767" i="121"/>
  <c r="C770" i="121"/>
  <c r="B45" i="82"/>
  <c r="B46" i="82" s="1"/>
  <c r="C45" i="82"/>
  <c r="C46" i="82" s="1"/>
  <c r="D45" i="82"/>
  <c r="D46" i="82" s="1"/>
  <c r="E45" i="82"/>
  <c r="F45" i="82"/>
  <c r="F46" i="82" s="1"/>
  <c r="G45" i="82"/>
  <c r="G46" i="82" s="1"/>
  <c r="H45" i="82"/>
  <c r="I45" i="82"/>
  <c r="J45" i="82"/>
  <c r="K45" i="82"/>
  <c r="E46" i="82"/>
  <c r="H46" i="82"/>
  <c r="I46" i="82"/>
  <c r="J46" i="82"/>
  <c r="K46" i="82"/>
  <c r="F241" i="121"/>
  <c r="B727" i="121"/>
  <c r="B735" i="121" s="1"/>
  <c r="C727" i="121"/>
  <c r="D727" i="121"/>
  <c r="D738" i="121" s="1"/>
  <c r="E727" i="121"/>
  <c r="F727" i="121"/>
  <c r="G727" i="121"/>
  <c r="H727" i="121"/>
  <c r="I727" i="121"/>
  <c r="I735" i="121" s="1"/>
  <c r="J727" i="121"/>
  <c r="K727" i="121"/>
  <c r="E735" i="121"/>
  <c r="F735" i="121"/>
  <c r="G735" i="121"/>
  <c r="H735" i="121"/>
  <c r="J735" i="121"/>
  <c r="B738" i="121"/>
  <c r="E738" i="121"/>
  <c r="F738" i="121"/>
  <c r="G738" i="121"/>
  <c r="H738" i="121"/>
  <c r="J738" i="121"/>
  <c r="F131" i="107"/>
  <c r="B32" i="111"/>
  <c r="C14" i="86" s="1"/>
  <c r="B35" i="111"/>
  <c r="C35" i="111"/>
  <c r="D35" i="111"/>
  <c r="E35" i="111"/>
  <c r="F35" i="111"/>
  <c r="G35" i="111"/>
  <c r="H35" i="111"/>
  <c r="I35" i="111"/>
  <c r="J35" i="111"/>
  <c r="K35" i="111"/>
  <c r="B38" i="111"/>
  <c r="C38" i="111"/>
  <c r="D38" i="111"/>
  <c r="E38" i="111"/>
  <c r="F38" i="111"/>
  <c r="G38" i="111"/>
  <c r="H38" i="111"/>
  <c r="I38" i="111"/>
  <c r="J38" i="111"/>
  <c r="K38" i="111"/>
  <c r="B41" i="111"/>
  <c r="C11" i="86" s="1"/>
  <c r="E10" i="87"/>
  <c r="E11" i="87"/>
  <c r="E12" i="87"/>
  <c r="E13" i="87"/>
  <c r="E14" i="87"/>
  <c r="E15" i="87"/>
  <c r="E16" i="87"/>
  <c r="E17" i="87"/>
  <c r="E18" i="87"/>
  <c r="E19" i="87"/>
  <c r="C75" i="100"/>
  <c r="G75" i="100" s="1"/>
  <c r="D735" i="121" l="1"/>
  <c r="C77" i="100"/>
  <c r="C80" i="100" s="1"/>
  <c r="I75" i="100"/>
  <c r="B25" i="82"/>
  <c r="B72" i="82" s="1"/>
  <c r="B74" i="82" s="1"/>
  <c r="B44" i="111"/>
  <c r="B744" i="121" s="1"/>
  <c r="B33" i="111"/>
  <c r="C9" i="86" s="1"/>
  <c r="G77" i="100"/>
  <c r="G76" i="100"/>
  <c r="G73" i="100" s="1"/>
  <c r="G72" i="100"/>
  <c r="K735" i="121"/>
  <c r="K738" i="121"/>
  <c r="C735" i="121"/>
  <c r="C738" i="121"/>
  <c r="I77" i="100"/>
  <c r="I76" i="100"/>
  <c r="I73" i="100" s="1"/>
  <c r="I72" i="100"/>
  <c r="E75" i="100"/>
  <c r="R21" i="111"/>
  <c r="I738" i="121"/>
  <c r="C72" i="100"/>
  <c r="C76" i="100"/>
  <c r="C73" i="100" s="1"/>
  <c r="K75" i="100"/>
  <c r="B732" i="121"/>
  <c r="C41" i="111"/>
  <c r="B741" i="121"/>
  <c r="C32" i="111" l="1"/>
  <c r="S21" i="111"/>
  <c r="I72" i="82"/>
  <c r="I74" i="82" s="1"/>
  <c r="D72" i="82"/>
  <c r="D74" i="82" s="1"/>
  <c r="D75" i="82" s="1"/>
  <c r="D76" i="82" s="1"/>
  <c r="H72" i="82"/>
  <c r="H74" i="82" s="1"/>
  <c r="H75" i="82" s="1"/>
  <c r="H76" i="82" s="1"/>
  <c r="J52" i="82"/>
  <c r="J54" i="82" s="1"/>
  <c r="J55" i="82" s="1"/>
  <c r="J56" i="82" s="1"/>
  <c r="G52" i="82"/>
  <c r="G54" i="82" s="1"/>
  <c r="G55" i="82" s="1"/>
  <c r="G56" i="82" s="1"/>
  <c r="C52" i="82"/>
  <c r="C54" i="82" s="1"/>
  <c r="C55" i="82" s="1"/>
  <c r="C56" i="82" s="1"/>
  <c r="K72" i="82"/>
  <c r="K74" i="82" s="1"/>
  <c r="K75" i="82" s="1"/>
  <c r="K76" i="82" s="1"/>
  <c r="G72" i="82"/>
  <c r="G74" i="82" s="1"/>
  <c r="G75" i="82" s="1"/>
  <c r="C72" i="82"/>
  <c r="C74" i="82" s="1"/>
  <c r="C75" i="82" s="1"/>
  <c r="C76" i="82" s="1"/>
  <c r="K52" i="82"/>
  <c r="K54" i="82" s="1"/>
  <c r="K55" i="82" s="1"/>
  <c r="F52" i="82"/>
  <c r="F54" i="82" s="1"/>
  <c r="F55" i="82" s="1"/>
  <c r="B52" i="82"/>
  <c r="B54" i="82" s="1"/>
  <c r="B55" i="82" s="1"/>
  <c r="B56" i="82" s="1"/>
  <c r="I52" i="82"/>
  <c r="I54" i="82" s="1"/>
  <c r="I55" i="82" s="1"/>
  <c r="I56" i="82" s="1"/>
  <c r="E52" i="82"/>
  <c r="E54" i="82" s="1"/>
  <c r="E55" i="82" s="1"/>
  <c r="E56" i="82" s="1"/>
  <c r="J72" i="82"/>
  <c r="J74" i="82" s="1"/>
  <c r="J75" i="82" s="1"/>
  <c r="J76" i="82" s="1"/>
  <c r="F72" i="82"/>
  <c r="F74" i="82" s="1"/>
  <c r="F75" i="82" s="1"/>
  <c r="H52" i="82"/>
  <c r="H54" i="82" s="1"/>
  <c r="D52" i="82"/>
  <c r="D54" i="82" s="1"/>
  <c r="C81" i="100"/>
  <c r="B26" i="82"/>
  <c r="G58" i="82" s="1"/>
  <c r="E72" i="82"/>
  <c r="E74" i="82" s="1"/>
  <c r="E75" i="82" s="1"/>
  <c r="E76" i="82" s="1"/>
  <c r="E76" i="100"/>
  <c r="E73" i="100" s="1"/>
  <c r="E72" i="100"/>
  <c r="E77" i="100"/>
  <c r="C33" i="111"/>
  <c r="C44" i="111"/>
  <c r="D14" i="86"/>
  <c r="C732" i="121"/>
  <c r="R22" i="111"/>
  <c r="H55" i="82"/>
  <c r="H56" i="82" s="1"/>
  <c r="B75" i="82"/>
  <c r="B76" i="82" s="1"/>
  <c r="D11" i="86"/>
  <c r="C741" i="121"/>
  <c r="D41" i="111"/>
  <c r="E11" i="86" s="1"/>
  <c r="I75" i="82"/>
  <c r="I76" i="82" s="1"/>
  <c r="D55" i="82"/>
  <c r="D56" i="82" s="1"/>
  <c r="C17" i="86"/>
  <c r="C18" i="86" s="1"/>
  <c r="C20" i="86" s="1"/>
  <c r="C24" i="86" s="1"/>
  <c r="K6" i="86" s="1"/>
  <c r="G66" i="86" s="1"/>
  <c r="N92" i="85" s="1"/>
  <c r="K72" i="100"/>
  <c r="K77" i="100"/>
  <c r="K76" i="100"/>
  <c r="K73" i="100" s="1"/>
  <c r="J78" i="82" l="1"/>
  <c r="G76" i="82"/>
  <c r="B9" i="82"/>
  <c r="B10" i="82" s="1"/>
  <c r="B11" i="82" s="1"/>
  <c r="J58" i="82"/>
  <c r="F76" i="82"/>
  <c r="D78" i="82"/>
  <c r="F58" i="82"/>
  <c r="K58" i="82"/>
  <c r="B78" i="82" s="1"/>
  <c r="E58" i="82"/>
  <c r="B5" i="82"/>
  <c r="B6" i="82" s="1"/>
  <c r="B7" i="82" s="1"/>
  <c r="D58" i="82"/>
  <c r="B28" i="82"/>
  <c r="G21" i="82" s="1"/>
  <c r="I78" i="82"/>
  <c r="F56" i="82"/>
  <c r="K56" i="82"/>
  <c r="G78" i="82"/>
  <c r="H58" i="82"/>
  <c r="H78" i="82"/>
  <c r="I58" i="82"/>
  <c r="K78" i="82"/>
  <c r="B58" i="82"/>
  <c r="F78" i="82"/>
  <c r="C78" i="82"/>
  <c r="C58" i="82"/>
  <c r="E78" i="82"/>
  <c r="D9" i="86"/>
  <c r="S22" i="111"/>
  <c r="B29" i="82"/>
  <c r="D741" i="121"/>
  <c r="E41" i="111"/>
  <c r="C744" i="121"/>
  <c r="D32" i="111"/>
  <c r="E741" i="121" l="1"/>
  <c r="F41" i="111"/>
  <c r="G11" i="86" s="1"/>
  <c r="D33" i="111"/>
  <c r="D44" i="111"/>
  <c r="E14" i="86"/>
  <c r="D732" i="121"/>
  <c r="R23" i="111"/>
  <c r="F11" i="86"/>
  <c r="D17" i="86"/>
  <c r="D18" i="86" s="1"/>
  <c r="D20" i="86" s="1"/>
  <c r="D24" i="86" s="1"/>
  <c r="K7" i="86" s="1"/>
  <c r="E32" i="111" l="1"/>
  <c r="D744" i="121"/>
  <c r="E9" i="86"/>
  <c r="S23" i="111"/>
  <c r="F741" i="121"/>
  <c r="G41" i="111"/>
  <c r="E17" i="86" l="1"/>
  <c r="E18" i="86" s="1"/>
  <c r="E20" i="86" s="1"/>
  <c r="E24" i="86" s="1"/>
  <c r="K8" i="86" s="1"/>
  <c r="G741" i="121"/>
  <c r="H41" i="111"/>
  <c r="I11" i="86" s="1"/>
  <c r="H11" i="86"/>
  <c r="E33" i="111"/>
  <c r="E44" i="111"/>
  <c r="F14" i="86"/>
  <c r="E732" i="121"/>
  <c r="R24" i="111"/>
  <c r="E744" i="121" l="1"/>
  <c r="F32" i="111"/>
  <c r="H741" i="121"/>
  <c r="I41" i="111"/>
  <c r="F9" i="86"/>
  <c r="S24" i="111"/>
  <c r="I741" i="121" l="1"/>
  <c r="J41" i="111"/>
  <c r="C31" i="86"/>
  <c r="F33" i="111"/>
  <c r="F44" i="111"/>
  <c r="G14" i="86"/>
  <c r="F732" i="121"/>
  <c r="R25" i="111"/>
  <c r="F17" i="86"/>
  <c r="F18" i="86" s="1"/>
  <c r="F20" i="86" s="1"/>
  <c r="F24" i="86" s="1"/>
  <c r="K9" i="86" s="1"/>
  <c r="G9" i="86" l="1"/>
  <c r="S25" i="111"/>
  <c r="J741" i="121"/>
  <c r="K41" i="111"/>
  <c r="E31" i="86" s="1"/>
  <c r="G32" i="111"/>
  <c r="F744" i="121"/>
  <c r="D31" i="86"/>
  <c r="G33" i="111" l="1"/>
  <c r="G44" i="111"/>
  <c r="H14" i="86"/>
  <c r="G732" i="121"/>
  <c r="R26" i="111"/>
  <c r="B73" i="111"/>
  <c r="F31" i="86" s="1"/>
  <c r="F37" i="86" s="1"/>
  <c r="F38" i="86" s="1"/>
  <c r="F40" i="86" s="1"/>
  <c r="F44" i="86" s="1"/>
  <c r="K16" i="86" s="1"/>
  <c r="K741" i="121"/>
  <c r="G17" i="86"/>
  <c r="G18" i="86" s="1"/>
  <c r="G20" i="86" s="1"/>
  <c r="G24" i="86" s="1"/>
  <c r="K10" i="86" s="1"/>
  <c r="H32" i="111" l="1"/>
  <c r="G744" i="121"/>
  <c r="B773" i="121"/>
  <c r="C73" i="111"/>
  <c r="H9" i="86"/>
  <c r="S26" i="111"/>
  <c r="C773" i="121" l="1"/>
  <c r="D73" i="111"/>
  <c r="H31" i="86" s="1"/>
  <c r="H37" i="86" s="1"/>
  <c r="H38" i="86" s="1"/>
  <c r="H40" i="86" s="1"/>
  <c r="H44" i="86" s="1"/>
  <c r="K18" i="86" s="1"/>
  <c r="G31" i="86"/>
  <c r="G37" i="86" s="1"/>
  <c r="G38" i="86" s="1"/>
  <c r="G40" i="86" s="1"/>
  <c r="G44" i="86" s="1"/>
  <c r="K17" i="86" s="1"/>
  <c r="H17" i="86"/>
  <c r="H18" i="86" s="1"/>
  <c r="H20" i="86" s="1"/>
  <c r="H24" i="86" s="1"/>
  <c r="K11" i="86" s="1"/>
  <c r="I14" i="86"/>
  <c r="H732" i="121"/>
  <c r="H33" i="111"/>
  <c r="H44" i="111"/>
  <c r="R27" i="111"/>
  <c r="D773" i="121" l="1"/>
  <c r="E73" i="111"/>
  <c r="H744" i="121"/>
  <c r="I32" i="111"/>
  <c r="I9" i="86"/>
  <c r="S27" i="111"/>
  <c r="I17" i="86" l="1"/>
  <c r="I18" i="86" s="1"/>
  <c r="I20" i="86" s="1"/>
  <c r="I24" i="86" s="1"/>
  <c r="K12" i="86" s="1"/>
  <c r="E773" i="121"/>
  <c r="F73" i="111"/>
  <c r="I33" i="111"/>
  <c r="I44" i="111"/>
  <c r="C34" i="86"/>
  <c r="I732" i="121"/>
  <c r="R28" i="111"/>
  <c r="I31" i="86"/>
  <c r="I37" i="86" s="1"/>
  <c r="I38" i="86" s="1"/>
  <c r="I40" i="86" s="1"/>
  <c r="I44" i="86" s="1"/>
  <c r="K19" i="86" s="1"/>
  <c r="F773" i="121" l="1"/>
  <c r="G73" i="111"/>
  <c r="D51" i="86" s="1"/>
  <c r="D57" i="86" s="1"/>
  <c r="D58" i="86" s="1"/>
  <c r="D60" i="86" s="1"/>
  <c r="D64" i="86" s="1"/>
  <c r="K21" i="86" s="1"/>
  <c r="J32" i="111"/>
  <c r="I744" i="121"/>
  <c r="C51" i="86"/>
  <c r="C57" i="86" s="1"/>
  <c r="C58" i="86" s="1"/>
  <c r="C60" i="86" s="1"/>
  <c r="C64" i="86" s="1"/>
  <c r="K20" i="86" s="1"/>
  <c r="C29" i="86"/>
  <c r="S28" i="111"/>
  <c r="J732" i="121" l="1"/>
  <c r="D34" i="86"/>
  <c r="J44" i="111"/>
  <c r="J33" i="111"/>
  <c r="R29" i="111"/>
  <c r="C37" i="86"/>
  <c r="C38" i="86" s="1"/>
  <c r="C40" i="86" s="1"/>
  <c r="C44" i="86" s="1"/>
  <c r="K13" i="86" s="1"/>
  <c r="H73" i="111"/>
  <c r="G773" i="121"/>
  <c r="H773" i="121" l="1"/>
  <c r="I73" i="111"/>
  <c r="F51" i="86" s="1"/>
  <c r="F57" i="86" s="1"/>
  <c r="F58" i="86" s="1"/>
  <c r="F60" i="86" s="1"/>
  <c r="F64" i="86" s="1"/>
  <c r="K23" i="86" s="1"/>
  <c r="D29" i="86"/>
  <c r="S29" i="111"/>
  <c r="J744" i="121"/>
  <c r="K32" i="111"/>
  <c r="E51" i="86"/>
  <c r="E57" i="86" s="1"/>
  <c r="E58" i="86" s="1"/>
  <c r="E60" i="86" s="1"/>
  <c r="E64" i="86" s="1"/>
  <c r="K22" i="86" s="1"/>
  <c r="I773" i="121" l="1"/>
  <c r="J73" i="111"/>
  <c r="G51" i="86" s="1"/>
  <c r="G57" i="86" s="1"/>
  <c r="G58" i="86" s="1"/>
  <c r="G60" i="86" s="1"/>
  <c r="G64" i="86" s="1"/>
  <c r="K24" i="86" s="1"/>
  <c r="K33" i="111"/>
  <c r="K44" i="111"/>
  <c r="K732" i="121"/>
  <c r="E34" i="86"/>
  <c r="R33" i="111"/>
  <c r="R34" i="111"/>
  <c r="R38" i="111"/>
  <c r="R30" i="111"/>
  <c r="R39" i="111"/>
  <c r="R37" i="111"/>
  <c r="R31" i="111"/>
  <c r="R36" i="111"/>
  <c r="R35" i="111"/>
  <c r="I47" i="106" s="1"/>
  <c r="I90" i="121" s="1"/>
  <c r="R32" i="111"/>
  <c r="R40" i="111"/>
  <c r="D37" i="86"/>
  <c r="D38" i="86" s="1"/>
  <c r="D40" i="86" s="1"/>
  <c r="D44" i="86" s="1"/>
  <c r="K14" i="86" s="1"/>
  <c r="K744" i="121" l="1"/>
  <c r="B76" i="111"/>
  <c r="E29" i="86"/>
  <c r="S35" i="111"/>
  <c r="S36" i="111"/>
  <c r="S31" i="111"/>
  <c r="S39" i="111"/>
  <c r="S37" i="111"/>
  <c r="S40" i="111"/>
  <c r="S30" i="111"/>
  <c r="S34" i="111"/>
  <c r="S38" i="111"/>
  <c r="S33" i="111"/>
  <c r="S32" i="111"/>
  <c r="J773" i="121"/>
  <c r="K73" i="111"/>
  <c r="F47" i="106" l="1"/>
  <c r="L47" i="106" s="1"/>
  <c r="L90" i="121" s="1"/>
  <c r="B104" i="111"/>
  <c r="K773" i="121"/>
  <c r="E37" i="86"/>
  <c r="E38" i="86" s="1"/>
  <c r="E40" i="86" s="1"/>
  <c r="E44" i="86" s="1"/>
  <c r="K15" i="86" s="1"/>
  <c r="B776" i="121"/>
  <c r="C76" i="111"/>
  <c r="H51" i="86"/>
  <c r="H57" i="86" s="1"/>
  <c r="H58" i="86" s="1"/>
  <c r="H60" i="86" s="1"/>
  <c r="H64" i="86" s="1"/>
  <c r="K25" i="86" s="1"/>
  <c r="F90" i="121" l="1"/>
  <c r="C776" i="121"/>
  <c r="D76" i="111"/>
  <c r="B804" i="121"/>
  <c r="D776" i="121" l="1"/>
  <c r="E76" i="111"/>
  <c r="C804" i="121"/>
  <c r="D104" i="111"/>
  <c r="F76" i="111" l="1"/>
  <c r="E776" i="121"/>
  <c r="D804" i="121"/>
  <c r="E104" i="111"/>
  <c r="E804" i="121" l="1"/>
  <c r="F104" i="111"/>
  <c r="F776" i="121"/>
  <c r="G76" i="111"/>
  <c r="G776" i="121" s="1"/>
  <c r="F804" i="121" l="1"/>
  <c r="G104" i="111"/>
  <c r="G804" i="121" l="1"/>
  <c r="H104" i="111"/>
  <c r="H804" i="121" l="1"/>
  <c r="I104" i="111"/>
  <c r="I804" i="121" l="1"/>
  <c r="J104" i="111"/>
  <c r="J804" i="121" l="1"/>
  <c r="K104" i="111"/>
  <c r="K804" i="121" l="1"/>
  <c r="B134" i="111"/>
  <c r="B834" i="121" l="1"/>
  <c r="C134" i="111"/>
  <c r="C834" i="121" l="1"/>
  <c r="D134" i="111"/>
  <c r="D834" i="121" l="1"/>
  <c r="E134" i="111"/>
  <c r="F134" i="111" l="1"/>
  <c r="F834" i="121" s="1"/>
  <c r="E834"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<sst xmlns="http://schemas.openxmlformats.org/spreadsheetml/2006/main" count="14242" uniqueCount="5187">
  <si>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</si>
  <si>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</si>
  <si>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</si>
  <si>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</si>
  <si>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</si>
  <si>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</si>
  <si>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</si>
  <si>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</si>
  <si>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</si>
  <si>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</si>
  <si>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</si>
  <si>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</si>
  <si>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</si>
  <si>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</si>
  <si>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</si>
  <si>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</si>
  <si>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</si>
  <si>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</si>
  <si>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</si>
  <si>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</si>
  <si>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</si>
  <si>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</si>
  <si>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</si>
  <si>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</si>
  <si>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</si>
  <si>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</si>
  <si>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</si>
  <si>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</si>
  <si>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</si>
  <si>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</si>
  <si>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</si>
  <si>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</si>
  <si>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</si>
  <si>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</si>
  <si>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</si>
  <si>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</si>
  <si>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</si>
  <si>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</si>
  <si>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</si>
  <si>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</si>
  <si>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</si>
  <si>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</si>
  <si>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</si>
  <si>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</si>
  <si>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</si>
  <si>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</si>
  <si>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</si>
  <si>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</si>
  <si>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</si>
  <si>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</si>
  <si>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</si>
  <si>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</si>
  <si>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</si>
  <si>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</si>
  <si>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</si>
  <si>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</si>
  <si>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</si>
  <si>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</si>
  <si>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</si>
  <si>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</si>
  <si>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</si>
  <si>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</si>
  <si>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</si>
  <si>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</si>
  <si>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</si>
  <si>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</si>
  <si>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</si>
  <si>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</si>
  <si>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</si>
  <si>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</si>
  <si>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</si>
  <si>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</si>
  <si>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</si>
  <si>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</si>
  <si>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</si>
  <si>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</si>
  <si>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</si>
  <si>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</si>
  <si>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</si>
  <si>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</si>
  <si>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</si>
  <si>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</si>
  <si>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</si>
  <si>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</si>
  <si>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</si>
  <si>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</si>
  <si>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</si>
  <si>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</si>
  <si>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</si>
  <si>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</si>
  <si>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</si>
  <si>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</si>
  <si>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</si>
  <si>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</si>
  <si>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</si>
  <si>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</si>
  <si>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</si>
  <si>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</si>
  <si>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</si>
  <si>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</si>
  <si>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</si>
  <si>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</si>
  <si>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</si>
  <si>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</si>
  <si>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</si>
  <si>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</si>
  <si>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</si>
  <si>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</si>
  <si>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</si>
  <si>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</si>
  <si>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</si>
  <si>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</si>
  <si>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</si>
  <si>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</si>
  <si>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</si>
  <si>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</si>
  <si>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</si>
  <si>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</si>
  <si>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</si>
  <si>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</si>
  <si>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</si>
  <si>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</si>
  <si>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</si>
  <si>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</si>
  <si>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</si>
  <si>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</si>
  <si>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</si>
  <si>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</si>
  <si>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</si>
  <si>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</si>
  <si>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</si>
  <si>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</si>
  <si>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</si>
  <si>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</si>
  <si>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</si>
  <si>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</si>
  <si>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</si>
  <si>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</si>
  <si>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</si>
  <si>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</si>
  <si>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</si>
  <si>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</si>
  <si>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</si>
  <si>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</si>
  <si>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</si>
  <si>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</si>
  <si>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</si>
  <si>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</si>
  <si>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</si>
  <si>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</si>
  <si>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</si>
  <si>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</si>
  <si>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</si>
  <si>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</si>
  <si>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</si>
  <si>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</si>
  <si>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</si>
  <si>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</si>
  <si>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</si>
  <si>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</si>
  <si>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</si>
  <si>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</si>
  <si>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</si>
  <si>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</si>
  <si>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</si>
  <si>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</si>
  <si>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</si>
  <si>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</si>
  <si>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</si>
  <si>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</si>
  <si>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</si>
  <si>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</si>
  <si>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</si>
  <si>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</si>
  <si>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</si>
  <si>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</si>
  <si>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</si>
  <si>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</si>
  <si>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</si>
  <si>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</si>
  <si>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</si>
  <si>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</si>
  <si>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</si>
  <si>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</si>
  <si>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</si>
  <si>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</si>
  <si>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</si>
  <si>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</si>
  <si>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</si>
  <si>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</si>
  <si>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</si>
  <si>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</si>
  <si>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</si>
  <si>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</si>
  <si>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</si>
  <si>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</si>
  <si>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</si>
  <si>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</si>
  <si>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</si>
  <si>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</si>
  <si>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</si>
  <si>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</si>
  <si>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</si>
  <si>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</si>
  <si>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</si>
  <si>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</si>
  <si>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</si>
  <si>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</si>
  <si>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</si>
  <si>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</si>
  <si>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</si>
  <si>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</si>
  <si>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</si>
  <si>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</si>
  <si>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</si>
  <si>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</si>
  <si>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</si>
  <si>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</si>
  <si>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</si>
  <si>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</si>
  <si>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</si>
  <si>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</si>
  <si>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</si>
  <si>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</si>
  <si>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</si>
  <si>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</si>
  <si>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</si>
  <si>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</si>
  <si>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</si>
  <si>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</si>
  <si>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</si>
  <si>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</si>
  <si>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</si>
  <si>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</si>
  <si>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</si>
  <si>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</si>
  <si>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</si>
  <si>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</si>
  <si>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</si>
  <si>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</si>
  <si>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</si>
  <si>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</si>
  <si>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</si>
  <si>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</si>
  <si>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</si>
  <si>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</si>
  <si>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</si>
  <si>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</si>
  <si>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</si>
  <si>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</si>
  <si>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</si>
  <si>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</si>
  <si>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</si>
  <si>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</si>
  <si>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</si>
  <si>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</si>
  <si>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</si>
  <si>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</si>
  <si>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</si>
  <si>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</si>
  <si>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</si>
  <si>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</si>
  <si>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</si>
  <si>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</si>
  <si>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</si>
  <si>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</si>
  <si>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</si>
  <si>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</si>
  <si>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</si>
  <si>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</si>
  <si>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</si>
  <si>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</si>
  <si>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</si>
  <si>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</si>
  <si>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</si>
  <si>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</si>
  <si>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</si>
  <si>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</si>
  <si>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</si>
  <si>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</si>
  <si>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</si>
  <si>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</si>
  <si>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</si>
  <si>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</si>
  <si>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</si>
  <si>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</si>
  <si>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</si>
  <si>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</si>
  <si>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</si>
  <si>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</si>
  <si>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</si>
  <si>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</si>
  <si>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</si>
  <si>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</si>
  <si>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</si>
  <si>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</si>
  <si>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</si>
  <si>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</si>
  <si>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</si>
  <si>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</si>
  <si>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</si>
  <si>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</si>
  <si>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</si>
  <si>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</si>
  <si>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</si>
  <si>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</si>
  <si>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</si>
  <si>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</si>
  <si>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</si>
  <si>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</si>
  <si>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</si>
  <si>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</si>
  <si>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</si>
  <si>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</si>
  <si>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</si>
  <si>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</si>
  <si>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</si>
  <si>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</si>
  <si>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</si>
  <si>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</si>
  <si>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</si>
  <si>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</si>
  <si>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</si>
  <si>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</si>
  <si>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</si>
  <si>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</si>
  <si>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</si>
  <si>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</si>
  <si>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</si>
  <si>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</si>
  <si>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</si>
  <si>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</si>
  <si>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</si>
  <si>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</si>
  <si>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</si>
  <si>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</si>
  <si>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</si>
  <si>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</si>
  <si>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</si>
  <si>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</si>
  <si>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</si>
  <si>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</si>
  <si>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</si>
  <si>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</si>
  <si>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</si>
  <si>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</si>
  <si>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</si>
  <si>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</si>
  <si>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</si>
  <si>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</si>
  <si>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</si>
  <si>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</si>
  <si>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</si>
  <si>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</si>
  <si>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</si>
  <si>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</si>
  <si>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</si>
  <si>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</si>
  <si>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</si>
  <si>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</si>
  <si>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</si>
  <si>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</si>
  <si>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</si>
  <si>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</si>
  <si>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</si>
  <si>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</si>
  <si>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</si>
  <si>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</si>
  <si>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</si>
  <si>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</si>
  <si>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</si>
  <si>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</si>
  <si>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</si>
  <si>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</si>
  <si>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</si>
  <si>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</si>
  <si>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</si>
  <si>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</si>
  <si>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</si>
  <si>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</si>
  <si>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</si>
  <si>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</si>
  <si>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</si>
  <si>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</si>
  <si>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</si>
  <si>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</si>
  <si>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</si>
  <si>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</si>
  <si>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</si>
  <si>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</si>
  <si>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</si>
  <si>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</si>
  <si>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</si>
  <si>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</si>
  <si>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</si>
  <si>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</si>
  <si>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</si>
  <si>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</si>
  <si>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</si>
  <si>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</si>
  <si>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</si>
  <si>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</si>
  <si>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</si>
  <si>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</si>
  <si>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</si>
  <si>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</si>
  <si>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</si>
  <si>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</si>
  <si>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</si>
  <si>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</si>
  <si>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</si>
  <si>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</si>
  <si>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</si>
  <si>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</si>
  <si>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</si>
  <si>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</si>
  <si>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</si>
  <si>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</si>
  <si>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</si>
  <si>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</si>
  <si>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</si>
  <si>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</si>
  <si>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</si>
  <si>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</si>
  <si>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</si>
  <si>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</si>
  <si>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</si>
  <si>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</si>
  <si>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</si>
  <si>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</si>
  <si>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</si>
  <si>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</si>
  <si>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</si>
  <si>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</si>
  <si>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</si>
  <si>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</si>
  <si>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</si>
  <si>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</si>
  <si>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</si>
  <si>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</si>
  <si>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</si>
  <si>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</si>
  <si>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</si>
  <si>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</si>
  <si>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</si>
  <si>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</si>
  <si>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</si>
  <si>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</si>
  <si>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</si>
  <si>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</si>
  <si>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</si>
  <si>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</si>
  <si>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</si>
  <si>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</si>
  <si>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</si>
  <si>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</si>
  <si>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</si>
  <si>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</si>
  <si>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</si>
  <si>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</si>
  <si>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</si>
  <si>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</si>
  <si>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</si>
  <si>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</si>
  <si>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</si>
  <si>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</si>
  <si>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</si>
  <si>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</si>
  <si>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</si>
  <si>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</si>
  <si>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</si>
  <si>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</si>
  <si>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</si>
  <si>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</si>
  <si>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</si>
  <si>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</si>
  <si>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</si>
  <si>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</si>
  <si>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</si>
  <si>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</si>
  <si>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</si>
  <si>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</si>
  <si>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</si>
  <si>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</si>
  <si>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</si>
  <si>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</si>
  <si>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</si>
  <si>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</si>
  <si>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</si>
  <si>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</si>
  <si>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</si>
  <si>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</si>
  <si>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</si>
  <si>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</si>
  <si>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</si>
  <si>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</si>
  <si>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</si>
  <si>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</si>
  <si>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</si>
  <si>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</si>
  <si>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</si>
  <si>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</si>
  <si>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</si>
  <si>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</si>
  <si>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</si>
  <si>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</si>
  <si>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</si>
  <si>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</si>
  <si>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</si>
  <si>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</si>
  <si>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</si>
  <si>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</si>
  <si>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</si>
  <si>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</si>
  <si>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</si>
  <si>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</si>
  <si>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</si>
  <si>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</si>
  <si>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</si>
  <si>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</si>
  <si>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</si>
  <si>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</si>
  <si>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</si>
  <si>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</si>
  <si>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</si>
  <si>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</si>
  <si>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</si>
  <si>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</si>
  <si>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</si>
  <si>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</si>
  <si>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</si>
  <si>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</si>
  <si>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</si>
  <si>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</si>
  <si>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</si>
  <si>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</si>
  <si>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</si>
  <si>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</si>
  <si>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</si>
  <si>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</si>
  <si>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</si>
  <si>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</si>
  <si>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</si>
  <si>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</si>
  <si>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</si>
  <si>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</si>
  <si>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</si>
  <si>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</si>
  <si>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</si>
  <si>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</si>
  <si>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</si>
  <si>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</si>
  <si>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</si>
  <si>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</si>
  <si>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</si>
  <si>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</si>
  <si>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</si>
  <si>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</si>
  <si>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</si>
  <si>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</si>
  <si>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</si>
  <si>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</si>
  <si>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</si>
  <si>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</si>
  <si>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</si>
  <si>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</si>
  <si>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</si>
  <si>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</si>
  <si>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</si>
  <si>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</si>
  <si>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</si>
  <si>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</si>
  <si>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</si>
  <si>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</si>
  <si>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</si>
  <si>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</si>
  <si>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</si>
  <si>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</si>
  <si>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</si>
  <si>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</si>
  <si>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</si>
  <si>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</si>
  <si>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</si>
  <si>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</si>
  <si>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</si>
  <si>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</si>
  <si>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</si>
  <si>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</si>
  <si>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</si>
  <si>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</si>
  <si>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</si>
  <si>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</si>
  <si>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</si>
  <si>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</si>
  <si>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</si>
  <si>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</si>
  <si>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</si>
  <si>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</si>
  <si>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</si>
  <si>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</si>
  <si>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</si>
  <si>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</si>
  <si>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</si>
  <si>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</si>
  <si>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</si>
  <si>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</si>
  <si>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</si>
  <si>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</si>
  <si>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</si>
  <si>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</si>
  <si>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</si>
  <si>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</si>
  <si>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</si>
  <si>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</si>
  <si>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</si>
  <si>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</si>
  <si>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</si>
  <si>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</si>
  <si>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</si>
  <si>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</si>
  <si>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</si>
  <si>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</si>
  <si>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</si>
  <si>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</si>
  <si>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</si>
  <si>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</si>
  <si>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</si>
  <si>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</si>
  <si>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</si>
  <si>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</si>
  <si>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</si>
  <si>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</si>
  <si>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</si>
  <si>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</si>
  <si>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</si>
  <si>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</si>
  <si>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</si>
  <si>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</si>
  <si>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</si>
  <si>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</si>
  <si>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</si>
  <si>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</si>
  <si>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</si>
  <si>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</si>
  <si>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</si>
  <si>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</si>
  <si>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</si>
  <si>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</si>
  <si>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</si>
  <si>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</si>
  <si>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</si>
  <si>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</si>
  <si>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</si>
  <si>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</si>
  <si>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</si>
  <si>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</si>
  <si>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</si>
  <si>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</si>
  <si>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</si>
  <si>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</si>
  <si>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</si>
  <si>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</si>
  <si>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</si>
  <si>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</si>
  <si>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</si>
  <si>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</si>
  <si>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</si>
  <si>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</si>
  <si>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</si>
  <si>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</si>
  <si>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</si>
  <si>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</si>
  <si>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</si>
  <si>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</si>
  <si>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</si>
  <si>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</si>
  <si>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</si>
  <si>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</si>
  <si>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</si>
  <si>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</si>
  <si>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</si>
  <si>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</si>
  <si>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</si>
  <si>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</si>
  <si>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</si>
  <si>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</si>
  <si>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</si>
  <si>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</si>
  <si>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</si>
  <si>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</si>
  <si>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</si>
  <si>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</si>
  <si>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</si>
  <si>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</si>
  <si>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</si>
  <si>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</si>
  <si>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</si>
  <si>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</si>
  <si>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</si>
  <si>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</si>
  <si>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</si>
  <si>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</si>
  <si>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</si>
  <si>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</si>
  <si>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</si>
  <si>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</si>
  <si>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</si>
  <si>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</si>
  <si>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</si>
  <si>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</si>
  <si>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</si>
  <si>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</si>
  <si>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</si>
  <si>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</si>
  <si>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</si>
  <si>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</si>
  <si>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</si>
  <si>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</si>
  <si>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</si>
  <si>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</si>
  <si>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</si>
  <si>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</si>
  <si>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</si>
  <si>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</si>
  <si>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</si>
  <si>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</si>
  <si>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</si>
  <si>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</si>
  <si>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</si>
  <si>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</si>
  <si>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</si>
  <si>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</si>
  <si>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</si>
  <si>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</si>
  <si>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</si>
  <si>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</si>
  <si>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</si>
  <si>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</si>
  <si>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</si>
  <si>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</si>
  <si>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</si>
  <si>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</si>
  <si>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</si>
  <si>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</si>
  <si>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</si>
  <si>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</si>
  <si>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</si>
  <si>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</si>
  <si>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</si>
  <si>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</si>
  <si>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</si>
  <si>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</si>
  <si>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</si>
  <si>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</si>
  <si>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</si>
  <si>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</si>
  <si>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</si>
  <si>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</si>
  <si>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</si>
  <si>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</si>
  <si>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</si>
  <si>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</si>
  <si>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</si>
  <si>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</si>
  <si>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</si>
  <si>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</si>
  <si>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</si>
  <si>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</si>
  <si>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</si>
  <si>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</si>
  <si>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</si>
  <si>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</si>
  <si>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</si>
  <si>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</si>
  <si>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</si>
  <si>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</si>
  <si>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</si>
  <si>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</si>
  <si>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</si>
  <si>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</si>
  <si>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</si>
  <si>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</si>
  <si>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</si>
  <si>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</si>
  <si>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</si>
  <si>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</si>
  <si>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</si>
  <si>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</si>
  <si>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</si>
  <si>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</si>
  <si>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</si>
  <si>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</si>
  <si>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</si>
  <si>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</si>
  <si>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</si>
  <si>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</si>
  <si>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</si>
  <si>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</si>
  <si>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</si>
  <si>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</si>
  <si>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</si>
  <si>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</si>
  <si>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</si>
  <si>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</si>
  <si>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</si>
  <si>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</si>
  <si>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</si>
  <si>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</si>
  <si>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</si>
  <si>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</si>
  <si>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</si>
  <si>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</si>
  <si>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</si>
  <si>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</si>
  <si>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</si>
  <si>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</si>
  <si>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</si>
  <si>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</si>
  <si>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</si>
  <si>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</si>
  <si>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</si>
  <si>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</si>
  <si>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</si>
  <si>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</si>
  <si>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</si>
  <si>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</si>
  <si>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</si>
  <si>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</si>
  <si>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</si>
  <si>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</si>
  <si>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</si>
  <si>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</si>
  <si>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</si>
  <si>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</si>
  <si>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</si>
  <si>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</si>
  <si>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</si>
  <si>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</si>
  <si>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</si>
  <si>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</si>
  <si>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</si>
  <si>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</si>
  <si>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</si>
  <si>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</si>
  <si>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</si>
  <si>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</si>
  <si>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</si>
  <si>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</si>
  <si>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</si>
  <si>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</si>
  <si>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</si>
  <si>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</si>
  <si>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</si>
  <si>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</si>
  <si>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</si>
  <si>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</si>
  <si>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</si>
  <si>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</si>
  <si>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</si>
  <si>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</si>
  <si>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</si>
  <si>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</si>
  <si>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</si>
  <si>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</si>
  <si>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</si>
  <si>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</si>
  <si>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</si>
  <si>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</si>
  <si>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</si>
  <si>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</si>
  <si>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</si>
  <si>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</si>
  <si>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</si>
  <si>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</si>
  <si>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</si>
  <si>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</si>
  <si>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</si>
  <si>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</si>
  <si>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</si>
  <si>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</si>
  <si>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</si>
  <si>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</si>
  <si>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</si>
  <si>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</si>
  <si>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</si>
  <si>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</si>
  <si>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</si>
  <si>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</si>
  <si>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</si>
  <si>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</si>
  <si>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</si>
  <si>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</si>
  <si>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</si>
  <si>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</si>
  <si>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</si>
  <si>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</si>
  <si>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</si>
  <si>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</si>
  <si>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</si>
  <si>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</si>
  <si>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</si>
  <si>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</si>
  <si>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</si>
  <si>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</si>
  <si>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</si>
  <si>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</si>
  <si>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</si>
  <si>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</si>
  <si>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</si>
  <si>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</si>
  <si>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</si>
  <si>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</si>
  <si>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</si>
  <si>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</si>
  <si>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</si>
  <si>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</si>
  <si>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</si>
  <si>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</si>
  <si>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</si>
  <si>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</si>
  <si>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</si>
  <si>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</si>
  <si>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</si>
  <si>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</si>
  <si>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</si>
  <si>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</si>
  <si>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</si>
  <si>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</si>
  <si>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</si>
  <si>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</si>
  <si>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</si>
  <si>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</si>
  <si>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</si>
  <si>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</si>
  <si>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</si>
  <si>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</si>
  <si>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</si>
  <si>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</si>
  <si>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</si>
  <si>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</si>
  <si>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</si>
  <si>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</si>
  <si>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</si>
  <si>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</si>
  <si>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</si>
  <si>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</si>
  <si>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</si>
  <si>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</si>
  <si>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</si>
  <si>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</si>
  <si>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</si>
  <si>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</si>
  <si>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</si>
  <si>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</si>
  <si>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</si>
  <si>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</si>
  <si>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</si>
  <si>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</si>
  <si>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</si>
  <si>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</si>
  <si>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</si>
  <si>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</si>
  <si>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</si>
  <si>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</si>
  <si>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</si>
  <si>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</si>
  <si>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</si>
  <si>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</si>
  <si>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</si>
  <si>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</si>
  <si>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</si>
  <si>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</si>
  <si>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</si>
  <si>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</si>
  <si>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</si>
  <si>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</si>
  <si>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</si>
  <si>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</si>
  <si>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</si>
  <si>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</si>
  <si>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</si>
  <si>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</si>
  <si>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</si>
  <si>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</si>
  <si>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</si>
  <si>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</si>
  <si>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</si>
  <si>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</si>
  <si>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</si>
  <si>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</si>
  <si>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</si>
  <si>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</si>
  <si>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</si>
  <si>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</si>
  <si>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</si>
  <si>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</si>
  <si>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</si>
  <si>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</si>
  <si>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</si>
  <si>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</si>
  <si>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</si>
  <si>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</si>
  <si>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</si>
  <si>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</si>
  <si>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</si>
  <si>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</si>
  <si>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</si>
  <si>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</si>
  <si>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</si>
  <si>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</si>
  <si>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</si>
  <si>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</si>
  <si>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</si>
  <si>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</si>
  <si>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</si>
  <si>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</si>
  <si>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</si>
  <si>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</si>
  <si>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</si>
  <si>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</si>
  <si>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</si>
  <si>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</si>
  <si>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</si>
  <si>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</si>
  <si>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</si>
  <si>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</si>
  <si>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</si>
  <si>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</si>
  <si>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</si>
  <si>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</si>
  <si>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</si>
  <si>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</si>
  <si>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</si>
  <si>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</si>
  <si>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</si>
  <si>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</si>
  <si>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</si>
  <si>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</si>
  <si>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</si>
  <si>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</si>
  <si>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</si>
  <si>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</si>
  <si>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</si>
  <si>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</si>
  <si>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</si>
  <si>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</si>
  <si>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</si>
  <si>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</si>
  <si>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</si>
  <si>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</si>
  <si>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</si>
  <si>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</si>
  <si>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</si>
  <si>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</si>
  <si>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</si>
  <si>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</si>
  <si>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</si>
  <si>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</si>
  <si>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</si>
  <si>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</si>
  <si>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</si>
  <si>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</si>
  <si>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</si>
  <si>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</si>
  <si>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</si>
  <si>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</si>
  <si>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</si>
  <si>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</si>
  <si>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</si>
  <si>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</si>
  <si>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</si>
  <si>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</si>
  <si>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</si>
  <si>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</si>
  <si>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</si>
  <si>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</si>
  <si>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</si>
  <si>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</si>
  <si>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</si>
  <si>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</si>
  <si>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</si>
  <si>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</si>
  <si>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</si>
  <si>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</si>
  <si>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</si>
  <si>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</si>
  <si>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</si>
  <si>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</si>
  <si>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</si>
  <si>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</si>
  <si>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</si>
  <si>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</si>
  <si>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</si>
  <si>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</si>
  <si>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</si>
  <si>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</si>
  <si>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</si>
  <si>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</si>
  <si>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</si>
  <si>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</si>
  <si>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</si>
  <si>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</si>
  <si>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</si>
  <si>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</si>
  <si>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</si>
  <si>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</si>
  <si>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</si>
  <si>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</si>
  <si>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</si>
  <si>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</si>
  <si>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</si>
  <si>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</si>
  <si>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</si>
  <si>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</si>
  <si>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</si>
  <si>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</si>
  <si>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</si>
  <si>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</si>
  <si>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</si>
  <si>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</si>
  <si>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</si>
  <si>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</si>
  <si>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</si>
  <si>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</si>
  <si>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</si>
  <si>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</si>
  <si>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</si>
  <si>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</si>
  <si>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</si>
  <si>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</si>
  <si>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</si>
  <si>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</si>
  <si>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</si>
  <si>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</si>
  <si>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</si>
  <si>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</si>
  <si>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</si>
  <si>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</si>
  <si>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</si>
  <si>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</si>
  <si>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</si>
  <si>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</si>
  <si>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</si>
  <si>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</si>
  <si>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</si>
  <si>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</si>
  <si>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</si>
  <si>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</si>
  <si>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</si>
  <si>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</si>
  <si>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</si>
  <si>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</si>
  <si>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</si>
  <si>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</si>
  <si>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</si>
  <si>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</si>
  <si>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</si>
  <si>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</si>
  <si>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</si>
  <si>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</si>
  <si>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</si>
  <si>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</si>
  <si>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</si>
  <si>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</si>
  <si>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</si>
  <si>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</si>
  <si>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</si>
  <si>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</si>
  <si>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</si>
  <si>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</si>
  <si>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</si>
  <si>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</si>
  <si>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</si>
  <si>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</si>
  <si>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</si>
  <si>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</si>
  <si>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</si>
  <si>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</si>
  <si>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</si>
  <si>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</si>
  <si>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</si>
  <si>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</si>
  <si>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</si>
  <si>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</si>
  <si>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</si>
  <si>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</si>
  <si>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</si>
  <si>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</si>
  <si>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</si>
  <si>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</si>
  <si>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</si>
  <si>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</si>
  <si>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</si>
  <si>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</si>
  <si>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</si>
  <si>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</si>
  <si>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</si>
  <si>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</si>
  <si>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</si>
  <si>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</si>
  <si>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</si>
  <si>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</si>
  <si>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</si>
  <si>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</si>
  <si>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</si>
  <si>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</si>
  <si>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</si>
  <si>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</si>
  <si>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</si>
  <si>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</si>
  <si>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</si>
  <si>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</si>
  <si>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</si>
  <si>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</si>
  <si>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</si>
  <si>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</si>
  <si>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</si>
  <si>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</si>
  <si>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</si>
  <si>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</si>
  <si>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</si>
  <si>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</si>
  <si>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</si>
  <si>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</si>
  <si>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</si>
  <si>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</si>
  <si>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</si>
  <si>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</si>
  <si>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</si>
  <si>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</si>
  <si>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</si>
  <si>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</si>
  <si>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</si>
  <si>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</si>
  <si>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</si>
  <si>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</si>
  <si>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</si>
  <si>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</si>
  <si>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</si>
  <si>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</si>
  <si>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</si>
  <si>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</si>
  <si>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</si>
  <si>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</si>
  <si>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</si>
  <si>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</si>
  <si>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</si>
  <si>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</si>
  <si>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</si>
  <si>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</si>
  <si>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</si>
  <si>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</si>
  <si>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</si>
  <si>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</si>
  <si>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</si>
  <si>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</si>
  <si>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</si>
  <si>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</si>
  <si>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</si>
  <si>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</si>
  <si>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</si>
  <si>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</si>
  <si>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</si>
  <si>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</si>
  <si>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</si>
  <si>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</si>
  <si>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</si>
  <si>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</si>
  <si>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</si>
  <si>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</si>
  <si>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</si>
  <si>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</si>
  <si>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</si>
  <si>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</si>
  <si>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</si>
  <si>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</si>
  <si>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</si>
  <si>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</si>
  <si>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</si>
  <si>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</si>
  <si>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</si>
  <si>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</si>
  <si>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</si>
  <si>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</si>
  <si>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</si>
  <si>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</si>
  <si>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</si>
  <si>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</si>
  <si>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</si>
  <si>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</si>
  <si>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</si>
  <si>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</si>
  <si>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</si>
  <si>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</si>
  <si>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</si>
  <si>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</si>
  <si>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</si>
  <si>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</si>
  <si>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</si>
  <si>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</si>
  <si>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</si>
  <si>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</si>
  <si>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</si>
  <si>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</si>
  <si>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</si>
  <si>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</si>
  <si>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</si>
  <si>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</si>
  <si>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</si>
  <si>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</si>
  <si>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</si>
  <si>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</si>
  <si>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</si>
  <si>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</si>
  <si>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</si>
  <si>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</si>
  <si>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</si>
  <si>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</si>
  <si>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</si>
  <si>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</si>
  <si>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</si>
  <si>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</si>
  <si>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</si>
  <si>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</si>
  <si>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</si>
  <si>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</si>
  <si>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</si>
  <si>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</si>
  <si>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</si>
  <si>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</si>
  <si>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</si>
  <si>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</si>
  <si>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</si>
  <si>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</si>
  <si>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</si>
  <si>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</si>
  <si>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</si>
  <si>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</si>
  <si>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</si>
  <si>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</si>
  <si>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</si>
  <si>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</si>
  <si>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</si>
  <si>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</si>
  <si>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</si>
  <si>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</si>
  <si>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</si>
  <si>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</si>
  <si>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</si>
  <si>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</si>
  <si>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</si>
  <si>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</si>
  <si>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</si>
  <si>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</si>
  <si>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</si>
  <si>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</si>
  <si>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</si>
  <si>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</si>
  <si>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</si>
  <si>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</si>
  <si>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</si>
  <si>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</si>
  <si>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</si>
  <si>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</si>
  <si>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</si>
  <si>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</si>
  <si>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</si>
  <si>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</si>
  <si>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</si>
  <si>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</si>
  <si>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</si>
  <si>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</si>
  <si>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</si>
  <si>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</si>
  <si>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</si>
  <si>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</si>
  <si>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</si>
  <si>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</si>
  <si>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</si>
  <si>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</si>
  <si>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</si>
  <si>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</si>
  <si>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</si>
  <si>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</si>
  <si>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</si>
  <si>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</si>
  <si>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</si>
  <si>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</si>
  <si>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</si>
  <si>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</si>
  <si>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</si>
  <si>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</si>
  <si>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</si>
  <si>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</si>
  <si>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</si>
  <si>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</si>
  <si>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</si>
  <si>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</si>
  <si>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</si>
  <si>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</si>
  <si>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</si>
  <si>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</si>
  <si>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</si>
  <si>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</si>
  <si>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</si>
  <si>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</si>
  <si>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</si>
  <si>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</si>
  <si>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</si>
  <si>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</si>
  <si>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</si>
  <si>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</si>
  <si>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</si>
  <si>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</si>
  <si>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</si>
  <si>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</si>
  <si>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</si>
  <si>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</si>
  <si>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</si>
  <si>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</si>
  <si>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</si>
  <si>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</si>
  <si>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</si>
  <si>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</si>
  <si>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</si>
  <si>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</si>
  <si>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</si>
  <si>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</si>
  <si>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</si>
  <si>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</si>
  <si>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</si>
  <si>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</si>
  <si>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</si>
  <si>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</si>
  <si>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</si>
  <si>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</si>
  <si>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</si>
  <si>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</si>
  <si>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</si>
  <si>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</si>
  <si>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</si>
  <si>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</si>
  <si>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</si>
  <si>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</si>
  <si>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</si>
  <si>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</si>
  <si>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</si>
  <si>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</si>
  <si>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</si>
  <si>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</si>
  <si>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</si>
  <si>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</si>
  <si>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</si>
  <si>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</si>
  <si>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</si>
  <si>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</si>
  <si>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</si>
  <si>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</si>
  <si>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</si>
  <si>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</si>
  <si>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</si>
  <si>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</si>
  <si>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</si>
  <si>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</si>
  <si>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</si>
  <si>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</si>
  <si>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</si>
  <si>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</si>
  <si>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</si>
  <si>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</si>
  <si>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</si>
  <si>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</si>
  <si>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</si>
  <si>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</si>
  <si>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</si>
  <si>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</si>
  <si>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</si>
  <si>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</si>
  <si>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</si>
  <si>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</si>
  <si>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</si>
  <si>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</si>
  <si>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</si>
  <si>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</si>
  <si>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</si>
  <si>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</si>
  <si>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</si>
  <si>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</si>
  <si>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</si>
  <si>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</si>
  <si>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</si>
  <si>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</si>
  <si>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</si>
  <si>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</si>
  <si>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</si>
  <si>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</si>
  <si>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</si>
  <si>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</si>
  <si>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</si>
  <si>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</si>
  <si>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</si>
  <si>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</si>
  <si>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</si>
  <si>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</si>
  <si>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</si>
  <si>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</si>
  <si>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</si>
  <si>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</si>
  <si>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</si>
  <si>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</si>
  <si>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</si>
  <si>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</si>
  <si>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</si>
  <si>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</si>
  <si>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</si>
  <si>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</si>
  <si>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</si>
  <si>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</si>
  <si>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</si>
  <si>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</si>
  <si>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</si>
  <si>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</si>
  <si>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</si>
  <si>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</si>
  <si>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</si>
  <si>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</si>
  <si>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</si>
  <si>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</si>
  <si>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</si>
  <si>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</si>
  <si>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</si>
  <si>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</si>
  <si>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</si>
  <si>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</si>
  <si>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</si>
  <si>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</si>
  <si>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</si>
  <si>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</si>
  <si>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</si>
  <si>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</si>
  <si>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</si>
  <si>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</si>
  <si>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</si>
  <si>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</si>
  <si>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</si>
  <si>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</si>
  <si>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</si>
  <si>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</si>
  <si>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</si>
  <si>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</si>
  <si>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</si>
  <si>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</si>
  <si>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</si>
  <si>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</si>
  <si>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</si>
  <si>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</si>
  <si>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</si>
  <si>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</si>
  <si>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</si>
  <si>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</si>
  <si>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</si>
  <si>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</si>
  <si>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</si>
  <si>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</si>
  <si>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</si>
  <si>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</si>
  <si>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</si>
  <si>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</si>
  <si>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</si>
  <si>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</si>
  <si>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</si>
  <si>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</si>
  <si>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</si>
  <si>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</si>
  <si>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</si>
  <si>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</si>
  <si>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</si>
  <si>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</si>
  <si>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</si>
  <si>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</si>
  <si>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</si>
  <si>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</si>
  <si>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</si>
  <si>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</si>
  <si>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</si>
  <si>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</si>
  <si>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</si>
  <si>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</si>
  <si>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</si>
  <si>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</si>
  <si>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</si>
  <si>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</si>
  <si>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</si>
  <si>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</si>
  <si>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</si>
  <si>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</si>
  <si>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</si>
  <si>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</si>
  <si>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</si>
  <si>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</si>
  <si>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</si>
  <si>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</si>
  <si>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</si>
  <si>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</si>
  <si>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</si>
  <si>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</si>
  <si>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</si>
  <si>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</si>
  <si>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</si>
  <si>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</si>
  <si>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</si>
  <si>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</si>
  <si>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</si>
  <si>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</si>
  <si>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</si>
  <si>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</si>
  <si>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</si>
  <si>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</si>
  <si>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</si>
  <si>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</si>
  <si>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</si>
  <si>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</si>
  <si>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</si>
  <si>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</si>
  <si>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</si>
  <si>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</si>
  <si>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</si>
  <si>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</si>
  <si>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</si>
  <si>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</si>
  <si>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</si>
  <si>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</si>
  <si>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</si>
  <si>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</si>
  <si>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</si>
  <si>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</si>
  <si>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</si>
  <si>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</si>
  <si>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</si>
  <si>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</si>
  <si>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</si>
  <si>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</si>
  <si>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</si>
  <si>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</si>
  <si>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</si>
  <si>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</si>
  <si>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</si>
  <si>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</si>
  <si>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</si>
  <si>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</si>
  <si>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</si>
  <si>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</si>
  <si>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</si>
  <si>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</si>
  <si>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</si>
  <si>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</si>
  <si>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</si>
  <si>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</si>
  <si>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</si>
  <si>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</si>
  <si>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</si>
  <si>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</si>
  <si>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</si>
  <si>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</si>
  <si>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</si>
  <si>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</si>
  <si>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</si>
  <si>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</si>
  <si>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</si>
  <si>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</si>
  <si>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</si>
  <si>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</si>
  <si>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</si>
  <si>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</si>
  <si>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</si>
  <si>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</si>
  <si>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</si>
  <si>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</si>
  <si>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</si>
  <si>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</si>
  <si>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</si>
  <si>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</si>
  <si>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</si>
  <si>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</si>
  <si>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</si>
  <si>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</si>
  <si>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</si>
  <si>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</si>
  <si>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</si>
  <si>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</si>
  <si>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</si>
  <si>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</si>
  <si>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</si>
  <si>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</si>
  <si>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</si>
  <si>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</si>
  <si>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</si>
  <si>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</si>
  <si>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</si>
  <si>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</si>
  <si>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</si>
  <si>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</si>
  <si>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</si>
  <si>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</si>
  <si>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</si>
  <si>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</si>
  <si>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</si>
  <si>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</si>
  <si>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</si>
  <si>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</si>
  <si>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</si>
  <si>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</si>
  <si>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</si>
  <si>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</si>
  <si>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</si>
  <si>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</si>
  <si>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</si>
  <si>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</si>
  <si>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</si>
  <si>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</si>
  <si>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</si>
  <si>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</si>
  <si>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</si>
  <si>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</si>
  <si>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</si>
  <si>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</si>
  <si>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</si>
  <si>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</si>
  <si>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</si>
  <si>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</si>
  <si>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</si>
  <si>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</si>
  <si>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</si>
  <si>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</si>
  <si>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</si>
  <si>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</si>
  <si>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</si>
  <si>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</si>
  <si>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</si>
  <si>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</si>
  <si>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</si>
  <si>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</si>
  <si>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</si>
  <si>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</si>
  <si>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</si>
  <si>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</si>
  <si>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</si>
  <si>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</si>
  <si>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</si>
  <si>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</si>
  <si>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</si>
  <si>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</si>
  <si>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</si>
  <si>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</si>
  <si>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</si>
  <si>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</si>
  <si>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</si>
  <si>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</si>
  <si>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</si>
  <si>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</si>
  <si>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</si>
  <si>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</si>
  <si>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</si>
  <si>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</si>
  <si>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</si>
  <si>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</si>
  <si>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</si>
  <si>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</si>
  <si>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</si>
  <si>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</si>
  <si>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</si>
  <si>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</si>
  <si>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</si>
  <si>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</si>
  <si>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</si>
  <si>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</si>
  <si>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</si>
  <si>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</si>
  <si>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</si>
  <si>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</si>
  <si>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</si>
  <si>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</si>
  <si>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</si>
  <si>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</si>
  <si>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</si>
  <si>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</si>
  <si>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</si>
  <si>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</si>
  <si>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</si>
  <si>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</si>
  <si>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</si>
  <si>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</si>
  <si>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</si>
  <si>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</si>
  <si>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</si>
  <si>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</si>
  <si>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</si>
  <si>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</si>
  <si>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</si>
  <si>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</si>
  <si>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</si>
  <si>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</si>
  <si>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</si>
  <si>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</si>
  <si>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</si>
  <si>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</si>
  <si>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</si>
  <si>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</si>
  <si>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</si>
  <si>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</si>
  <si>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</si>
  <si>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</si>
  <si>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</si>
  <si>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</si>
  <si>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</si>
  <si>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</si>
  <si>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</si>
  <si>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</si>
  <si>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</si>
  <si>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</si>
  <si>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</si>
  <si>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</si>
  <si>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</si>
  <si>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</si>
  <si>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</si>
  <si>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</si>
  <si>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</si>
  <si>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</si>
  <si>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</si>
  <si>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</si>
  <si>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</si>
  <si>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</si>
  <si>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</si>
  <si>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</si>
  <si>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</si>
  <si>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</si>
  <si>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</si>
  <si>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</si>
  <si>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</si>
  <si>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</si>
  <si>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</si>
  <si>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</si>
  <si>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</si>
  <si>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</si>
  <si>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</si>
  <si>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</si>
  <si>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</si>
  <si>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</si>
  <si>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</si>
  <si>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</si>
  <si>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</si>
  <si>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</si>
  <si>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</si>
  <si>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</si>
  <si>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</si>
  <si>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</si>
  <si>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</si>
  <si>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</si>
  <si>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</si>
  <si>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</si>
  <si>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</si>
  <si>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</si>
  <si>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</si>
  <si>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</si>
  <si>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</si>
  <si>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</si>
  <si>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</si>
  <si>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</si>
  <si>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</si>
  <si>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</si>
  <si>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</si>
  <si>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</si>
  <si>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</si>
  <si>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</si>
  <si>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</si>
  <si>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</si>
  <si>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</si>
  <si>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</si>
  <si>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</si>
  <si>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</si>
  <si>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</si>
  <si>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</si>
  <si>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</si>
  <si>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</si>
  <si>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</si>
  <si>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</si>
  <si>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</si>
  <si>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</si>
  <si>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</si>
  <si>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</si>
  <si>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</si>
  <si>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</si>
  <si>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</si>
  <si>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</si>
  <si>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</si>
  <si>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</si>
  <si>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</si>
  <si>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</si>
  <si>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</si>
  <si>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</si>
  <si>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</si>
  <si>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</si>
  <si>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</si>
  <si>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</si>
  <si>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</si>
  <si>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</si>
  <si>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</si>
  <si>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</si>
  <si>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</si>
  <si>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</si>
  <si>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</si>
  <si>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</si>
  <si>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</si>
  <si>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</si>
  <si>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</si>
  <si>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</si>
  <si>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</si>
  <si>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</si>
  <si>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</si>
  <si>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</si>
  <si>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</si>
  <si>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</si>
  <si>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</si>
  <si>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</si>
  <si>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</si>
  <si>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</si>
  <si>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</si>
  <si>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</si>
  <si>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</si>
  <si>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</si>
  <si>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</si>
  <si>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</si>
  <si>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</si>
  <si>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</si>
  <si>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</si>
  <si>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</si>
  <si>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</si>
  <si>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</si>
  <si>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</si>
  <si>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</si>
  <si>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</si>
  <si>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</si>
  <si>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</si>
  <si>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</si>
  <si>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</si>
  <si>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</si>
  <si>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</si>
  <si>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</si>
  <si>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</si>
  <si>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</si>
  <si>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</si>
  <si>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</si>
  <si>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</si>
  <si>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</si>
  <si>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</si>
  <si>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</si>
  <si>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</si>
  <si>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</si>
  <si>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</si>
  <si>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</si>
  <si>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</si>
  <si>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</si>
  <si>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</si>
  <si>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</si>
  <si>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</si>
  <si>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</si>
  <si>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</si>
  <si>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</si>
  <si>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</si>
  <si>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</si>
  <si>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</si>
  <si>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</si>
  <si>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</si>
  <si>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</si>
  <si>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</si>
  <si>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</si>
  <si>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</si>
  <si>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</si>
  <si>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</si>
  <si>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</si>
  <si>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</si>
  <si>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</si>
  <si>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</si>
  <si>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</si>
  <si>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</si>
  <si>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</si>
  <si>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</si>
  <si>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</si>
  <si>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</si>
  <si>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</si>
  <si>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</si>
  <si>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</si>
  <si>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</si>
  <si>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</si>
  <si>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</si>
  <si>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</si>
  <si>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</si>
  <si>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</si>
  <si>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</si>
  <si>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</si>
  <si>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</si>
  <si>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</si>
  <si>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</si>
  <si>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</si>
  <si>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</si>
  <si>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</si>
  <si>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</si>
  <si>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</si>
  <si>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</si>
  <si>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</si>
  <si>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</si>
  <si>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</si>
  <si>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</si>
  <si>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</si>
  <si>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</si>
  <si>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</si>
  <si>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</si>
  <si>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</si>
  <si>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</si>
  <si>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</si>
  <si>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</si>
  <si>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</si>
  <si>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</si>
  <si>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</si>
  <si>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</si>
  <si>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</si>
  <si>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</si>
  <si>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</si>
  <si>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</si>
  <si>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</si>
  <si>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</si>
  <si>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</si>
  <si>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</si>
  <si>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</si>
  <si>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</si>
  <si>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</si>
  <si>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</si>
  <si>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</si>
  <si>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</si>
  <si>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</si>
  <si>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</si>
  <si>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</si>
  <si>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</si>
  <si>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</si>
  <si>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</si>
  <si>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</si>
  <si>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</si>
  <si>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</si>
  <si>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</si>
  <si>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</si>
  <si>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</si>
  <si>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</si>
  <si>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</si>
  <si>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</si>
  <si>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</si>
  <si>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</si>
  <si>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</si>
  <si>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</si>
  <si>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</si>
  <si>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</si>
  <si>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</si>
  <si>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</si>
  <si>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</si>
  <si>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</si>
  <si>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</si>
  <si>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</si>
  <si>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</si>
  <si>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</si>
  <si>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</si>
  <si>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</si>
  <si>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</si>
  <si>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</si>
  <si>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</si>
  <si>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</si>
  <si>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</si>
  <si>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</si>
  <si>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</si>
  <si>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</si>
  <si>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</si>
  <si>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</si>
  <si>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</si>
  <si>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</si>
  <si>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</si>
  <si>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</si>
  <si>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</si>
  <si>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</si>
  <si>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</si>
  <si>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</si>
  <si>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</si>
  <si>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</si>
  <si>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</si>
  <si>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</si>
  <si>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</si>
  <si>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</si>
  <si>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</si>
  <si>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</si>
  <si>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</si>
  <si>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</si>
  <si>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</si>
  <si>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</si>
  <si>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</si>
  <si>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</si>
  <si>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</si>
  <si>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</si>
  <si>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</si>
  <si>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</si>
  <si>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</si>
  <si>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</si>
  <si>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</si>
  <si>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</si>
  <si>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</si>
  <si>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</si>
  <si>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</si>
  <si>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</si>
  <si>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</si>
  <si>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</si>
  <si>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</si>
  <si>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</si>
  <si>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</si>
  <si>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</si>
  <si>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</si>
  <si>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</si>
  <si>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</si>
  <si>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</si>
  <si>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</si>
  <si>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</si>
  <si>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</si>
  <si>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</si>
  <si>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</si>
  <si>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</si>
  <si>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</si>
  <si>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</si>
  <si>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</si>
  <si>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</si>
  <si>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</si>
  <si>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</si>
  <si>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</si>
  <si>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</si>
  <si>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</si>
  <si>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</si>
  <si>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</si>
  <si>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</si>
  <si>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</si>
  <si>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</si>
  <si>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</si>
  <si>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</si>
  <si>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</si>
  <si>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</si>
  <si>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</si>
  <si>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</si>
  <si>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</si>
  <si>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</si>
  <si>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</si>
  <si>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</si>
  <si>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</si>
  <si>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</si>
  <si>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</si>
  <si>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</si>
  <si>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</si>
  <si>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</si>
  <si>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</si>
  <si>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</si>
  <si>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</si>
  <si>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</si>
  <si>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</si>
  <si>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</si>
  <si>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</si>
  <si>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</si>
  <si>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</si>
  <si>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</si>
  <si>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</si>
  <si>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</si>
  <si>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</si>
  <si>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</si>
  <si>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</si>
  <si>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</si>
  <si>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</si>
  <si>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</si>
  <si>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</si>
  <si>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</si>
  <si>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</si>
  <si>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</si>
  <si>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</si>
  <si>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</si>
  <si>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</si>
  <si>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</si>
  <si>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</si>
  <si>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</si>
  <si>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</si>
  <si>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</si>
  <si>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</si>
  <si>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</si>
  <si>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</si>
  <si>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</si>
  <si>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</si>
  <si>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</si>
  <si>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</si>
  <si>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</si>
  <si>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</si>
  <si>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</si>
  <si>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</si>
  <si>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</si>
  <si>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</si>
  <si>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</si>
  <si>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</si>
  <si>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</si>
  <si>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</si>
  <si>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</si>
  <si>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</si>
  <si>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</si>
  <si>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</si>
  <si>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</si>
  <si>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</si>
  <si>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</si>
  <si>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</si>
  <si>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</si>
  <si>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</si>
  <si>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</si>
  <si>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</si>
  <si>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</si>
  <si>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</si>
  <si>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</si>
  <si>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</si>
  <si>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</si>
  <si>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</si>
  <si>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</si>
  <si>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</si>
  <si>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</si>
  <si>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</si>
  <si>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</si>
  <si>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</si>
  <si>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</si>
  <si>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</si>
  <si>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</si>
  <si>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</si>
  <si>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</si>
  <si>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</si>
  <si>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</si>
  <si>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</si>
  <si>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</si>
  <si>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</si>
  <si>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</si>
  <si>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</si>
  <si>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</si>
  <si>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</si>
  <si>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</si>
  <si>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</si>
  <si>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</si>
  <si>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</si>
  <si>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</si>
  <si>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</si>
  <si>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</si>
  <si>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</si>
  <si>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</si>
  <si>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</si>
  <si>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</si>
  <si>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</si>
  <si>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</si>
  <si>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</si>
  <si>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</si>
  <si>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</si>
  <si>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</si>
  <si>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</si>
  <si>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</si>
  <si>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</si>
  <si>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</si>
  <si>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</si>
  <si>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</si>
  <si>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</si>
  <si>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</si>
  <si>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</si>
  <si>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</si>
  <si>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</si>
  <si>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</si>
  <si>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</si>
  <si>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</si>
  <si>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</si>
  <si>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</si>
  <si>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</si>
  <si>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</si>
  <si>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</si>
  <si>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</si>
  <si>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</si>
  <si>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</si>
  <si>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</si>
  <si>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</si>
  <si>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</si>
  <si>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</si>
  <si>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</si>
  <si>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</si>
  <si>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</si>
  <si>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</si>
  <si>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</si>
  <si>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</si>
  <si>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</si>
  <si>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</si>
  <si>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</si>
  <si>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</si>
  <si>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</si>
  <si>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</si>
  <si>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</si>
  <si>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</si>
  <si>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</si>
  <si>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</si>
  <si>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</si>
  <si>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</si>
  <si>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</si>
  <si>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</si>
  <si>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</si>
  <si>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</si>
  <si>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</si>
  <si>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</si>
  <si>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</si>
  <si>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</si>
  <si>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</si>
  <si>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</si>
  <si>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</si>
  <si>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</si>
  <si>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</si>
  <si>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</si>
  <si>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</si>
  <si>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</si>
  <si>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</si>
  <si>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</si>
  <si>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</si>
  <si>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</si>
  <si>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</si>
  <si>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</si>
  <si>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</si>
  <si>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</si>
  <si>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</si>
  <si>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</si>
  <si>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</si>
  <si>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</si>
  <si>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</si>
  <si>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</si>
  <si>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</si>
  <si>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</si>
  <si>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</si>
  <si>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</si>
  <si>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</si>
  <si>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</si>
  <si>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</si>
  <si>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</si>
  <si>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</si>
  <si>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</si>
  <si>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</si>
  <si>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</si>
  <si>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</si>
  <si>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</si>
  <si>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</si>
  <si>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</si>
  <si>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</si>
  <si>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</si>
  <si>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</si>
  <si>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</si>
  <si>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</si>
  <si>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</si>
  <si>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</si>
  <si>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</si>
  <si>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</si>
  <si>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</si>
  <si>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</si>
  <si>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</si>
  <si>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</si>
  <si>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</si>
  <si>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</si>
  <si>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</si>
  <si>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</si>
  <si>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</si>
  <si>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</si>
  <si>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</si>
  <si>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</si>
  <si>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</si>
  <si>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</si>
  <si>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</si>
  <si>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</si>
  <si>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</si>
  <si>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</si>
  <si>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</si>
  <si>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</si>
  <si>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</si>
  <si>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</si>
  <si>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</si>
  <si>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</si>
  <si>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</si>
  <si>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</si>
  <si>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</si>
  <si>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</si>
  <si>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</si>
  <si>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</si>
  <si>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</si>
  <si>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</si>
  <si>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</si>
  <si>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</si>
  <si>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</si>
  <si>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</si>
  <si>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</si>
  <si>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</si>
  <si>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</si>
  <si>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</si>
  <si>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</si>
  <si>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</si>
  <si>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</si>
  <si>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</si>
  <si>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</si>
  <si>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</si>
  <si>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</si>
  <si>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</si>
  <si>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</si>
  <si>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</si>
  <si>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</si>
  <si>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</si>
  <si>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</si>
  <si>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</si>
  <si>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</si>
  <si>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</si>
  <si>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</si>
  <si>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</si>
  <si>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</si>
  <si>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</si>
  <si>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</si>
  <si>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</si>
  <si>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</si>
  <si>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</si>
  <si>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</si>
  <si>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</si>
  <si>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</si>
  <si>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</si>
  <si>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</si>
  <si>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</si>
  <si>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</si>
  <si>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</si>
  <si>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</si>
  <si>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</si>
  <si>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</si>
  <si>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</si>
  <si>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</si>
  <si>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</si>
  <si>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</si>
  <si>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</si>
  <si>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</si>
  <si>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</si>
  <si>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</si>
  <si>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</si>
  <si>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</si>
  <si>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</si>
  <si>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</si>
  <si>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</si>
  <si>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</si>
  <si>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</si>
  <si>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</si>
  <si>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</si>
  <si>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</si>
  <si>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</si>
  <si>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</si>
  <si>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</si>
  <si>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</si>
  <si>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</si>
  <si>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</si>
  <si>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</si>
  <si>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</si>
  <si>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</si>
  <si>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</si>
  <si>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</si>
  <si>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</si>
  <si>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</si>
  <si>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</si>
  <si>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</si>
  <si>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</si>
  <si>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</si>
  <si>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</si>
  <si>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</si>
  <si>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</si>
  <si>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</si>
  <si>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</si>
  <si>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</si>
  <si>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</si>
  <si>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</si>
  <si>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</si>
  <si>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</si>
  <si>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</si>
  <si>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</si>
  <si>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</si>
  <si>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</si>
  <si>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</si>
  <si>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</si>
  <si>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</si>
  <si>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</si>
  <si>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</si>
  <si>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</si>
  <si>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</si>
  <si>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</si>
  <si>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</si>
  <si>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</si>
  <si>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</si>
  <si>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</si>
  <si>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</si>
  <si>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</si>
  <si>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</si>
  <si>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</si>
  <si>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</si>
  <si>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</si>
  <si>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</si>
  <si>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</si>
  <si>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</si>
  <si>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</si>
  <si>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</si>
  <si>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</si>
  <si>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</si>
  <si>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</si>
  <si>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</si>
  <si>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</si>
  <si>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</si>
  <si>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</si>
  <si>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</si>
  <si>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</si>
  <si>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</si>
  <si>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</si>
  <si>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</si>
  <si>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</si>
  <si>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</si>
  <si>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</si>
  <si>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</si>
  <si>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</si>
  <si>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</si>
  <si>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</si>
  <si>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</si>
  <si>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</si>
  <si>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</si>
  <si>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</si>
  <si>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</si>
  <si>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</si>
  <si>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</si>
  <si>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</si>
  <si>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</si>
  <si>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</si>
  <si>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</si>
  <si>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</si>
  <si>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</si>
  <si>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</si>
  <si>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</si>
  <si>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</si>
  <si>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</si>
  <si>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</si>
  <si>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</si>
  <si>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</si>
  <si>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</si>
  <si>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</si>
  <si>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</si>
  <si>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</si>
  <si>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</si>
  <si>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</si>
  <si>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</si>
  <si>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</si>
  <si>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</si>
  <si>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</si>
  <si>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</si>
  <si>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</si>
  <si>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</si>
  <si>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</si>
  <si>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</si>
  <si>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</si>
  <si>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</si>
  <si>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</si>
  <si>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</si>
  <si>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</si>
  <si>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</si>
  <si>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</si>
  <si>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</si>
  <si>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</si>
  <si>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</si>
  <si>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</si>
  <si>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</si>
  <si>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</si>
  <si>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</si>
  <si>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</si>
  <si>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</si>
  <si>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</si>
  <si>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</si>
  <si>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</si>
  <si>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</si>
  <si>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</si>
  <si>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</si>
  <si>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</si>
  <si>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</si>
  <si>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</si>
  <si>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</si>
  <si>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</si>
  <si>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</si>
  <si>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</si>
  <si>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</si>
  <si>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</si>
  <si>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</si>
  <si>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</si>
  <si>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</si>
  <si>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</si>
  <si>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</si>
  <si>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</si>
  <si>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</si>
  <si>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</si>
  <si>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</si>
  <si>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</si>
  <si>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</si>
  <si>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</si>
  <si>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</si>
  <si>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</si>
  <si>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</si>
  <si>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</si>
  <si>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</si>
  <si>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</si>
  <si>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</si>
  <si>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</si>
  <si>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</si>
  <si>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</si>
  <si>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</si>
  <si>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</si>
  <si>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</si>
  <si>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</si>
  <si>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</si>
  <si>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</si>
  <si>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</si>
  <si>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</si>
  <si>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</si>
  <si>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</si>
  <si>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</si>
  <si>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</si>
  <si>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</si>
  <si>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</si>
  <si>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</si>
  <si>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</si>
  <si>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</si>
  <si>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</si>
  <si>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</si>
  <si>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</si>
  <si>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</si>
  <si>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</si>
  <si>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</si>
  <si>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</si>
  <si>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</si>
  <si>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</si>
  <si>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</si>
  <si>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</si>
  <si>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</si>
  <si>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</si>
  <si>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</si>
  <si>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</si>
  <si>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</si>
  <si>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</si>
  <si>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</si>
  <si>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</si>
  <si>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</si>
  <si>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</si>
  <si>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</si>
  <si>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</si>
  <si>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</si>
  <si>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</si>
  <si>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</si>
  <si>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</si>
  <si>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</si>
  <si>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</si>
  <si>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</si>
  <si>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</si>
  <si>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</si>
  <si>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</si>
  <si>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</si>
  <si>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</si>
  <si>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</si>
  <si>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</si>
  <si>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</si>
  <si>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</si>
  <si>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</si>
  <si>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</si>
  <si>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</si>
  <si>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</si>
  <si>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</si>
  <si>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</si>
  <si>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</si>
  <si>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</si>
  <si>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</si>
  <si>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</si>
  <si>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</si>
  <si>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</si>
  <si>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</si>
  <si>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</si>
  <si>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</si>
  <si>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</si>
  <si>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</si>
  <si>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</si>
  <si>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</si>
  <si>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</si>
  <si>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</si>
  <si>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</si>
  <si>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</si>
  <si>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</si>
  <si>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</si>
  <si>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</si>
  <si>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</si>
  <si>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</si>
  <si>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</si>
  <si>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</si>
  <si>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</si>
  <si>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</si>
  <si>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</si>
  <si>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</si>
  <si>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</si>
  <si>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</si>
  <si>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</si>
  <si>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</si>
  <si>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</si>
  <si>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</si>
  <si>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</si>
  <si>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</si>
  <si>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</si>
  <si>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</si>
  <si>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</si>
  <si>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</si>
  <si>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</si>
  <si>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</si>
  <si>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</si>
  <si>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</si>
  <si>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</si>
  <si>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</si>
  <si>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</si>
  <si>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</si>
  <si>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</si>
  <si>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</si>
  <si>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</si>
  <si>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</si>
  <si>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</si>
  <si>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</si>
  <si>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</si>
  <si>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</si>
  <si>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</si>
  <si>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</si>
  <si>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</si>
  <si>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</si>
  <si>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</si>
  <si>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</si>
  <si>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</si>
  <si>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</si>
  <si>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</si>
  <si>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</si>
  <si>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</si>
  <si>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</si>
  <si>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</si>
  <si>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</si>
  <si>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</si>
  <si>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</si>
  <si>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</si>
  <si>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</si>
  <si>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</si>
  <si>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</si>
  <si>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</si>
  <si>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</si>
  <si>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</si>
  <si>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</si>
  <si>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</si>
  <si>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</si>
  <si>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</si>
  <si>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</si>
  <si>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</si>
  <si>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</si>
  <si>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</si>
  <si>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</si>
  <si>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</si>
  <si>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</si>
  <si>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</si>
  <si>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</si>
  <si>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</si>
  <si>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</si>
  <si>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</si>
  <si>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</si>
  <si>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</si>
  <si>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</si>
  <si>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</si>
  <si>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</si>
  <si>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</si>
  <si>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</si>
  <si>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</si>
  <si>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</si>
  <si>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</si>
  <si>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</si>
  <si>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</si>
  <si>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</si>
  <si>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</si>
  <si>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</si>
  <si>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</si>
  <si>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</si>
  <si>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</si>
  <si>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</si>
  <si>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</si>
  <si>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</si>
  <si>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</si>
  <si>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</si>
  <si>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</si>
  <si>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</si>
  <si>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</si>
  <si>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</si>
  <si>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</si>
  <si>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</si>
  <si>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</si>
  <si>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</si>
  <si>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</si>
  <si>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</si>
  <si>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</si>
  <si>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</si>
  <si>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</si>
  <si>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</si>
  <si>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</si>
  <si>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</si>
  <si>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</si>
  <si>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</si>
  <si>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</si>
  <si>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</si>
  <si>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</si>
  <si>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</si>
  <si>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</si>
  <si>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</si>
  <si>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</si>
  <si>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</si>
  <si>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</si>
  <si>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</si>
  <si>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</si>
  <si>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</si>
  <si>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</si>
  <si>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</si>
  <si>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</si>
  <si>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</si>
  <si>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</si>
  <si>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</si>
  <si>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</si>
  <si>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</si>
  <si>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</si>
  <si>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</si>
  <si>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</si>
  <si>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</si>
  <si>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</si>
  <si>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</si>
  <si>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</si>
  <si>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</si>
  <si>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</si>
  <si>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</si>
  <si>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</si>
  <si>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</si>
  <si>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</si>
  <si>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</si>
  <si>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</si>
  <si>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</si>
  <si>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</si>
  <si>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</si>
  <si>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</si>
  <si>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</si>
  <si>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</si>
  <si>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</si>
  <si>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</si>
  <si>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</si>
  <si>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</si>
  <si>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</si>
  <si>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</si>
  <si>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</si>
  <si>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</si>
  <si>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</si>
  <si>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</si>
  <si>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</si>
  <si>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</si>
  <si>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</si>
  <si>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</si>
  <si>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</si>
  <si>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</si>
  <si>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</si>
  <si>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</si>
  <si>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</si>
  <si>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</si>
  <si>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</si>
  <si>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</si>
  <si>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</si>
  <si>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</si>
  <si>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</si>
  <si>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</si>
  <si>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</si>
  <si>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</si>
  <si>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</si>
  <si>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</si>
  <si>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</si>
  <si>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</si>
  <si>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</si>
  <si>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</si>
  <si>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</si>
  <si>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</si>
  <si>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</si>
  <si>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</si>
  <si>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</si>
  <si>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</si>
  <si>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</si>
  <si>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</si>
  <si>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</si>
  <si>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</si>
  <si>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</si>
  <si>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</si>
  <si>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</si>
  <si>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</si>
  <si>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</si>
  <si>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</si>
  <si>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</si>
  <si>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</si>
  <si>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</si>
  <si>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</si>
  <si>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</si>
  <si>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</si>
  <si>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</si>
  <si>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</si>
  <si>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</si>
  <si>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</si>
  <si>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</si>
  <si>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</si>
  <si>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</si>
  <si>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</si>
  <si>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</si>
  <si>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</si>
  <si>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</si>
  <si>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</si>
  <si>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</si>
  <si>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</si>
  <si>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</si>
  <si>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</si>
  <si>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</si>
  <si>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</si>
  <si>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</si>
  <si>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</si>
  <si>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</si>
  <si>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</si>
  <si>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</si>
  <si>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</si>
  <si>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</si>
  <si>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</si>
  <si>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</si>
  <si>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</si>
  <si>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</si>
  <si>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</si>
  <si>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</si>
  <si>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</si>
  <si>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</si>
  <si>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</si>
  <si>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</si>
  <si>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</si>
  <si>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</si>
  <si>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</si>
  <si>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</si>
  <si>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</si>
  <si>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</si>
  <si>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</si>
  <si>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</si>
  <si>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</si>
  <si>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</si>
  <si>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</si>
  <si>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</si>
  <si>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</si>
  <si>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</si>
  <si>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</si>
  <si>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</si>
  <si>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</si>
  <si>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</si>
  <si>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</si>
  <si>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</si>
  <si>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</si>
  <si>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</si>
  <si>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</si>
  <si>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</si>
  <si>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</si>
  <si>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</si>
  <si>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</si>
  <si>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</si>
  <si>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</si>
  <si>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</si>
  <si>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</si>
  <si>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</si>
  <si>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</si>
  <si>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</si>
  <si>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</si>
  <si>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</si>
  <si>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</si>
  <si>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</si>
  <si>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</si>
  <si>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</si>
  <si>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</si>
  <si>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</si>
  <si>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</si>
  <si>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</si>
  <si>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</si>
  <si>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</si>
  <si>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</si>
  <si>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</si>
  <si>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</si>
  <si>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</si>
  <si>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</si>
  <si>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</si>
  <si>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</si>
  <si>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</si>
  <si>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</si>
  <si>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</si>
  <si>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</si>
  <si>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</si>
  <si>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</si>
  <si>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</si>
  <si>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</si>
  <si>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</si>
  <si>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</si>
  <si>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</si>
  <si>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</si>
  <si>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</si>
  <si>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</si>
  <si>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</si>
  <si>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</si>
  <si>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</si>
  <si>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</si>
  <si>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</si>
  <si>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</si>
  <si>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</si>
  <si>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</si>
  <si>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</si>
  <si>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</si>
  <si>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</si>
  <si>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</si>
  <si>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</si>
  <si>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</si>
  <si>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</si>
  <si>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</si>
  <si>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</si>
  <si>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</si>
  <si>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</si>
  <si>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</si>
  <si>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</si>
  <si>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</si>
  <si>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</si>
  <si>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</si>
  <si>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</si>
  <si>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</si>
  <si>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</si>
  <si>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</si>
  <si>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</si>
  <si>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</si>
  <si>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</si>
  <si>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</si>
  <si>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</si>
  <si>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</si>
  <si>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</si>
  <si>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</si>
  <si>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</si>
  <si>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</si>
  <si>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</si>
  <si>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</si>
  <si>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</si>
  <si>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</si>
  <si>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</si>
  <si>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</si>
  <si>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</si>
  <si>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</si>
  <si>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</si>
  <si>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</si>
  <si>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</si>
  <si>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</si>
  <si>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</si>
  <si>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</si>
  <si>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</si>
  <si>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</si>
  <si>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</si>
  <si>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</si>
  <si>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</si>
  <si>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</si>
  <si>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</si>
  <si>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</si>
  <si>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</si>
  <si>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</si>
  <si>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</si>
  <si>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</si>
  <si>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</si>
  <si>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</si>
  <si>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</si>
  <si>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</si>
  <si>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</si>
  <si>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</si>
  <si>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</si>
  <si>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</si>
  <si>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</si>
  <si>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</si>
  <si>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</si>
  <si>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</si>
  <si>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</si>
  <si>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</si>
  <si>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</si>
  <si>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</si>
  <si>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</si>
  <si>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</si>
  <si>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</si>
  <si>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</si>
  <si>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</si>
  <si>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</si>
  <si>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</si>
  <si>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</si>
  <si>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</si>
  <si>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</si>
  <si>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</si>
  <si>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</si>
  <si>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</si>
  <si>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</si>
  <si>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</si>
  <si>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</si>
  <si>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</si>
  <si>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</si>
  <si>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</si>
  <si>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</si>
  <si>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</si>
  <si>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</si>
  <si>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</si>
  <si>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</si>
  <si>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</si>
  <si>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</si>
  <si>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</si>
  <si>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</si>
  <si>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</si>
  <si>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</si>
  <si>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</si>
  <si>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</si>
  <si>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</si>
  <si>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</si>
  <si>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</si>
  <si>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</si>
  <si>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</si>
  <si>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</si>
  <si>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</si>
  <si>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</si>
  <si>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</si>
  <si>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</si>
  <si>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</si>
  <si>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</si>
  <si>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</si>
  <si>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</si>
  <si>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</si>
  <si>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</si>
  <si>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</si>
  <si>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</si>
  <si>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</si>
  <si>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</si>
  <si>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</si>
  <si>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</si>
  <si>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</si>
  <si>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</si>
  <si>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</si>
  <si>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</si>
  <si>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</si>
  <si>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</si>
  <si>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</si>
  <si>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</si>
  <si>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</si>
  <si>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</si>
  <si>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</si>
  <si>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</si>
  <si>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</si>
  <si>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</si>
  <si>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</si>
  <si>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</si>
  <si>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</si>
  <si>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</si>
  <si>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</si>
  <si>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</si>
  <si>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</si>
  <si>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</si>
  <si>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</si>
  <si>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</si>
  <si>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</si>
  <si>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</si>
  <si>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</si>
  <si>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</si>
  <si>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</si>
  <si>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</si>
  <si>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</si>
  <si>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</si>
  <si>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</si>
  <si>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</si>
  <si>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</si>
  <si>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</si>
  <si>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</si>
  <si>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</si>
  <si>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</si>
  <si>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</si>
  <si>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</si>
  <si>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</si>
  <si>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</si>
  <si>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</si>
  <si>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</si>
  <si>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</si>
  <si>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</si>
  <si>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</si>
  <si>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</si>
  <si>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</si>
  <si>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</si>
  <si>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</si>
  <si>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</si>
  <si>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</si>
  <si>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</si>
  <si>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</si>
  <si>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</si>
  <si>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</si>
  <si>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</si>
  <si>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</si>
  <si>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</si>
  <si>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</si>
  <si>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</si>
  <si>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</si>
  <si>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</si>
  <si>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</si>
  <si>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</si>
  <si>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</si>
  <si>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</si>
  <si>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</si>
  <si>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</si>
  <si>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</si>
  <si>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</si>
  <si>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</si>
  <si>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</si>
  <si>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</si>
  <si>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</si>
  <si>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</si>
  <si>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</si>
  <si>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</si>
  <si>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</si>
  <si>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</si>
  <si>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</si>
  <si>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</si>
  <si>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</si>
  <si>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</si>
  <si>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</si>
  <si>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</si>
  <si>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</si>
  <si>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</si>
  <si>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</si>
  <si>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</si>
  <si>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</si>
  <si>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</si>
  <si>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</si>
  <si>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</si>
  <si>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</si>
  <si>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</si>
  <si>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</si>
  <si>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</si>
  <si>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</si>
  <si>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</si>
  <si>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</si>
  <si>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</si>
  <si>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</si>
  <si>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</si>
  <si>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</si>
  <si>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</si>
  <si>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</si>
  <si>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</si>
  <si>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</si>
  <si>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</si>
  <si>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</si>
  <si>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</si>
  <si>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</si>
  <si>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</si>
  <si>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</si>
  <si>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</si>
  <si>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</si>
  <si>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</si>
  <si>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</si>
  <si>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</si>
  <si>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</si>
  <si>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</si>
  <si>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</si>
  <si>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</si>
  <si>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</si>
  <si>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</si>
  <si>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</si>
  <si>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</si>
  <si>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</si>
  <si>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</si>
  <si>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</si>
  <si>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</si>
  <si>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</si>
  <si>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</si>
  <si>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</si>
  <si>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</si>
  <si>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</si>
  <si>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</si>
  <si>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</si>
  <si>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</si>
  <si>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</si>
  <si>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</si>
  <si>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</si>
  <si>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</si>
  <si>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</si>
  <si>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</si>
  <si>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</si>
  <si>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</si>
  <si>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</si>
  <si>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</si>
  <si>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</si>
  <si>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</si>
  <si>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</si>
  <si>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</si>
  <si>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</si>
  <si>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</si>
  <si>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</si>
  <si>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</si>
  <si>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</si>
  <si>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</si>
  <si>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</si>
  <si>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</si>
  <si>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</si>
  <si>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</si>
  <si>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</si>
  <si>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</si>
  <si>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</si>
  <si>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</si>
  <si>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</si>
  <si>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</si>
  <si>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</si>
  <si>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</si>
  <si>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</si>
  <si>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</si>
  <si>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</si>
  <si>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</si>
  <si>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</si>
  <si>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</si>
  <si>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</si>
  <si>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</si>
  <si>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</si>
  <si>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</si>
  <si>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</si>
  <si>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</si>
  <si>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</si>
  <si>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</si>
  <si>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</si>
  <si>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</si>
  <si>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</si>
  <si>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</si>
  <si>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</si>
  <si>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</si>
  <si>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</si>
  <si>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</si>
  <si>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</si>
  <si>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</si>
  <si>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</si>
  <si>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</si>
  <si>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</si>
  <si>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</si>
  <si>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</si>
  <si>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</si>
  <si>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</si>
  <si>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</si>
  <si>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</si>
  <si>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</si>
  <si>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</si>
  <si>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</si>
  <si>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</si>
  <si>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</si>
  <si>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</si>
  <si>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</si>
  <si>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</si>
  <si>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</si>
  <si>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</si>
  <si>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</si>
  <si>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</si>
  <si>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</si>
  <si>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</si>
  <si>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</si>
  <si>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</si>
  <si>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</si>
  <si>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</si>
  <si>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</si>
  <si>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</si>
  <si>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</si>
  <si>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</si>
  <si>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</si>
  <si>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</si>
  <si>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</si>
  <si>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</si>
  <si>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</si>
  <si>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</si>
  <si>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</si>
  <si>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</si>
  <si>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</si>
  <si>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</si>
  <si>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</si>
  <si>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</si>
  <si>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</si>
  <si>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</si>
  <si>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</si>
  <si>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</si>
  <si>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</si>
  <si>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</si>
  <si>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</si>
  <si>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</si>
  <si>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</si>
  <si>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</si>
  <si>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</si>
  <si>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</si>
  <si>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</si>
  <si>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</si>
  <si>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</si>
  <si>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</si>
  <si>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</si>
  <si>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</si>
  <si>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</si>
  <si>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</si>
  <si>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</si>
  <si>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</si>
  <si>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</si>
  <si>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</si>
  <si>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</si>
  <si>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</si>
  <si>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</si>
  <si>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</si>
  <si>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</si>
  <si>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</si>
  <si>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</si>
  <si>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</si>
  <si>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</si>
  <si>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</si>
  <si>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</si>
  <si>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</si>
  <si>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</si>
  <si>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</si>
  <si>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</si>
  <si>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</si>
  <si>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</si>
  <si>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</si>
  <si>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</si>
  <si>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</si>
  <si>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</si>
  <si>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</si>
  <si>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</si>
  <si>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</si>
  <si>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</si>
  <si>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</si>
  <si>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</si>
  <si>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</si>
  <si>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</si>
  <si>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</si>
  <si>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</si>
  <si>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</si>
  <si>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</si>
  <si>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</si>
  <si>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</si>
  <si>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</si>
  <si>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</si>
  <si>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</si>
  <si>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</si>
  <si>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</si>
  <si>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</si>
  <si>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</si>
  <si>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</si>
  <si>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</si>
  <si>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</si>
  <si>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</si>
  <si>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</si>
  <si>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</si>
  <si>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</si>
  <si>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</si>
  <si>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</si>
  <si>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</si>
  <si>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</si>
  <si>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</si>
  <si>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</si>
  <si>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</si>
  <si>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</si>
  <si>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</si>
  <si>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</si>
  <si>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</si>
  <si>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</si>
  <si>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</si>
  <si>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</si>
  <si>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</si>
  <si>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</si>
  <si>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</si>
  <si>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</si>
  <si>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</si>
  <si>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</si>
  <si>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</si>
  <si>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</si>
  <si>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</si>
  <si>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</si>
  <si>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</si>
  <si>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</si>
  <si>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</si>
  <si>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</si>
  <si>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</si>
  <si>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</si>
  <si>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</si>
  <si>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</si>
  <si>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</si>
  <si>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</si>
  <si>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</si>
  <si>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</si>
  <si>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</si>
  <si>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</si>
  <si>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</si>
  <si>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</si>
  <si>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</si>
  <si>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</si>
  <si>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</si>
  <si>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</si>
  <si>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</si>
  <si>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</si>
  <si>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</si>
  <si>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</si>
  <si>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</si>
  <si>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</si>
  <si>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</si>
  <si>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</si>
  <si>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</si>
  <si>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</si>
  <si>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</si>
  <si>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</si>
  <si>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</si>
  <si>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</si>
  <si>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</si>
  <si>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</si>
  <si>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</si>
  <si>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</si>
  <si>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</si>
  <si>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</si>
  <si>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</si>
  <si>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</si>
  <si>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</si>
  <si>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</si>
  <si>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</si>
  <si>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</si>
  <si>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</si>
  <si>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</si>
  <si>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</si>
  <si>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</si>
  <si>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</si>
  <si>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</si>
  <si>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</si>
  <si>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</si>
  <si>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</si>
  <si>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</si>
  <si>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</si>
  <si>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</si>
  <si>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</si>
  <si>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</si>
  <si>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</si>
  <si>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</si>
  <si>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</si>
  <si>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</si>
  <si>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</si>
  <si>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</si>
  <si>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</si>
  <si>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</si>
  <si>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</si>
  <si>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</si>
  <si>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</si>
  <si>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</si>
  <si>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</si>
  <si>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</si>
  <si>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</si>
  <si>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</si>
  <si>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</si>
  <si>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</si>
  <si>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</si>
  <si>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</si>
  <si>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</si>
  <si>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</si>
  <si>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</si>
  <si>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</si>
  <si>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</si>
  <si>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</si>
  <si>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</si>
  <si>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</si>
  <si>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</si>
  <si>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</si>
  <si>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</si>
  <si>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</si>
  <si>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</si>
  <si>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</si>
  <si>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</si>
  <si>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</si>
  <si>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</si>
  <si>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</si>
  <si>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</si>
  <si>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</si>
  <si>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</si>
  <si>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</si>
  <si>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</si>
  <si>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</si>
  <si>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</si>
  <si>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</si>
  <si>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</si>
  <si>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</si>
  <si>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</si>
  <si>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</si>
  <si>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</si>
  <si>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</si>
  <si>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</si>
  <si>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</si>
  <si>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</si>
  <si>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</si>
  <si>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</si>
  <si>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</si>
  <si>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</si>
  <si>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</si>
  <si>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</si>
  <si>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</si>
  <si>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</si>
  <si>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</si>
  <si>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</si>
  <si>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</si>
  <si>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</si>
  <si>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</si>
  <si>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</si>
  <si>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</si>
  <si>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</si>
  <si>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</si>
  <si>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</si>
  <si>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</si>
  <si>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</si>
  <si>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</si>
  <si>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</si>
  <si>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</si>
  <si>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</si>
  <si>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</si>
  <si>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</si>
  <si>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</si>
  <si>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</si>
  <si>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</si>
  <si>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</si>
  <si>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</si>
  <si>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</si>
  <si>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</si>
  <si>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</si>
  <si>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</si>
  <si>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</si>
  <si>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</si>
  <si>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</si>
  <si>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</si>
  <si>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</si>
  <si>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</si>
  <si>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</si>
  <si>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</si>
  <si>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</si>
  <si>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</si>
  <si>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</si>
  <si>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</si>
  <si>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</si>
  <si>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</si>
  <si>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</si>
  <si>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</si>
  <si>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</si>
  <si>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</si>
  <si>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</si>
  <si>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</si>
  <si>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</si>
  <si>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</si>
  <si>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</si>
  <si>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</si>
  <si>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</si>
  <si>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</si>
  <si>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</si>
  <si>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</si>
  <si>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</si>
  <si>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</si>
  <si>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</si>
  <si>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</si>
  <si>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</si>
  <si>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</si>
  <si>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</si>
  <si>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</si>
  <si>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</si>
  <si>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</si>
  <si>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</si>
  <si>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</si>
  <si>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</si>
  <si>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</si>
  <si>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</si>
  <si>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</si>
  <si>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</si>
  <si>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</si>
  <si>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</si>
  <si>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</si>
  <si>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</si>
  <si>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</si>
  <si>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</si>
  <si>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</si>
  <si>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</si>
  <si>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</si>
  <si>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</si>
  <si>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</si>
  <si>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</si>
  <si>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</si>
  <si>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</si>
  <si>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</si>
  <si>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</si>
  <si>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</si>
  <si>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</si>
  <si>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</si>
  <si>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</si>
  <si>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</si>
  <si>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</si>
  <si>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</si>
  <si>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</si>
  <si>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</si>
  <si>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</si>
  <si>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</si>
  <si>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</si>
  <si>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</si>
  <si>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</si>
  <si>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</si>
  <si>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</si>
  <si>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</si>
  <si>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</si>
  <si>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</si>
  <si>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</si>
  <si>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</si>
  <si>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</si>
  <si>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</si>
  <si>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</si>
  <si>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</si>
  <si>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</si>
  <si>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</si>
  <si>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</si>
  <si>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</si>
  <si>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</si>
  <si>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</si>
  <si>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</si>
  <si>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</si>
  <si>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</si>
  <si>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</si>
  <si>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</si>
  <si>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</si>
  <si>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</si>
  <si>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</si>
  <si>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</si>
  <si>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</si>
  <si>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</si>
  <si>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</si>
  <si>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</si>
  <si>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</si>
  <si>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</si>
  <si>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</si>
  <si>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</si>
  <si>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</si>
  <si>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</si>
  <si>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</si>
  <si>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</si>
  <si>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</si>
  <si>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</si>
  <si>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</si>
  <si>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</si>
  <si>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</si>
  <si>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</si>
  <si>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</si>
  <si>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</si>
  <si>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</si>
  <si>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</si>
  <si>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</si>
  <si>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</si>
  <si>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</si>
  <si>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</si>
  <si>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</si>
  <si>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</si>
  <si>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</si>
  <si>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</si>
  <si>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</si>
  <si>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</si>
  <si>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</si>
  <si>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</si>
  <si>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</si>
  <si>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</si>
  <si>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</si>
  <si>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</si>
  <si>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</si>
  <si>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</si>
  <si>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</si>
  <si>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</si>
  <si>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</si>
  <si>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</si>
  <si>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</si>
  <si>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</si>
  <si>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</si>
  <si>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</si>
  <si>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</si>
  <si>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</si>
  <si>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</si>
  <si>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</si>
  <si>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</si>
  <si>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</si>
  <si>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</si>
  <si>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</si>
  <si>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</si>
  <si>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</si>
  <si>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</si>
  <si>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</si>
  <si>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</si>
  <si>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</si>
  <si>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</si>
  <si>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</si>
  <si>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</si>
  <si>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</si>
  <si>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</si>
  <si>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</si>
  <si>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</si>
  <si>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</si>
  <si>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</si>
  <si>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</si>
  <si>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</si>
  <si>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</si>
  <si>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</si>
  <si>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</si>
  <si>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</si>
  <si>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</si>
  <si>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</si>
  <si>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</si>
  <si>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</si>
  <si>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</si>
  <si>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</si>
  <si>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</si>
  <si>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</si>
  <si>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</si>
  <si>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</si>
  <si>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</si>
  <si>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</si>
  <si>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</si>
  <si>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</si>
  <si>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</si>
  <si>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</si>
  <si>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</si>
  <si>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</si>
  <si>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</si>
  <si>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</si>
  <si>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</si>
  <si>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</si>
  <si>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</si>
  <si>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</si>
  <si>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</si>
  <si>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</si>
  <si>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</si>
  <si>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</si>
  <si>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</si>
  <si>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</si>
  <si>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</si>
  <si>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</si>
  <si>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</si>
  <si>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</si>
  <si>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</si>
  <si>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</si>
  <si>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</si>
  <si>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</si>
  <si>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</si>
  <si>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</si>
  <si>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</si>
  <si>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</si>
  <si>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</si>
  <si>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</si>
  <si>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</si>
  <si>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</si>
  <si>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</si>
  <si>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</si>
  <si>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</si>
  <si>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</si>
  <si>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</si>
  <si>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</si>
  <si>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</si>
  <si>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</si>
  <si>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</si>
  <si>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</si>
  <si>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</si>
  <si>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</si>
  <si>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</si>
  <si>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</si>
  <si>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</si>
  <si>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</si>
  <si>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</si>
  <si>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</si>
  <si>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</si>
  <si>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</si>
  <si>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</si>
  <si>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</si>
  <si>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</si>
  <si>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</si>
  <si>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</si>
  <si>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</si>
  <si>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</si>
  <si>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</si>
  <si>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</si>
  <si>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</si>
  <si>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</si>
  <si>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</si>
  <si>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</si>
  <si>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</si>
  <si>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</si>
  <si>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</si>
  <si>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</si>
  <si>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</si>
  <si>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</si>
  <si>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</si>
  <si>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</si>
  <si>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</si>
  <si>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</si>
  <si>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</si>
  <si>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</si>
  <si>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</si>
  <si>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</si>
  <si>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</si>
  <si>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</si>
  <si>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</si>
  <si>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</si>
  <si>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</si>
  <si>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</si>
  <si>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</si>
  <si>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</si>
  <si>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</si>
  <si>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</si>
  <si>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</si>
  <si>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</si>
  <si>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</si>
  <si>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</si>
  <si>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</si>
  <si>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</si>
  <si>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</si>
  <si>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</si>
  <si>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</si>
  <si>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</si>
  <si>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</si>
  <si>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</si>
  <si>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</si>
  <si>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</si>
  <si>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</si>
  <si>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</si>
  <si>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</si>
  <si>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</si>
  <si>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</si>
  <si>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</si>
  <si>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</si>
  <si>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</si>
  <si>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</si>
  <si>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</si>
  <si>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</si>
  <si>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</si>
  <si>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</si>
  <si>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</si>
  <si>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</si>
  <si>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</si>
  <si>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</si>
  <si>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</si>
  <si>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</si>
  <si>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</si>
  <si>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</si>
  <si>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</si>
  <si>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</si>
  <si>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</si>
  <si>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</si>
  <si>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</si>
  <si>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</si>
  <si>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</si>
  <si>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</si>
  <si>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</si>
  <si>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</si>
  <si>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</si>
  <si>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</si>
  <si>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</si>
  <si>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</si>
  <si>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</si>
  <si>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</si>
  <si>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</si>
  <si>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</si>
  <si>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</si>
  <si>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</si>
  <si>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</si>
  <si>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</si>
  <si>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</si>
  <si>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</si>
  <si>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</si>
  <si>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</si>
  <si>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</si>
  <si>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</si>
  <si>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</si>
  <si>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</si>
  <si>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</si>
  <si>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</si>
  <si>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</si>
  <si>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</si>
  <si>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</si>
  <si>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</si>
  <si>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</si>
  <si>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</si>
  <si>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</si>
  <si>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</si>
  <si>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</si>
  <si>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</si>
  <si>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</si>
  <si>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</si>
  <si>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</si>
  <si>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</si>
  <si>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</si>
  <si>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</si>
  <si>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</si>
  <si>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</si>
  <si>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</si>
  <si>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</si>
  <si>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</si>
  <si>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</si>
  <si>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</si>
  <si>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</si>
  <si>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</si>
  <si>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</si>
  <si>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</si>
  <si>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</si>
  <si>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</si>
  <si>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</si>
  <si>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</si>
  <si>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</si>
  <si>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</si>
  <si>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</si>
  <si>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</si>
  <si>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</si>
  <si>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</si>
  <si>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</si>
  <si>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</si>
  <si>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</si>
  <si>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</si>
  <si>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</si>
  <si>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</si>
  <si>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</si>
  <si>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</si>
  <si>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</si>
  <si>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</si>
  <si>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</si>
  <si>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</si>
  <si>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</si>
  <si>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</si>
  <si>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</si>
  <si>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</si>
  <si>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</si>
  <si>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</si>
  <si>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</si>
  <si>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</si>
  <si>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</si>
  <si>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</si>
  <si>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</si>
  <si>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</si>
  <si>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</si>
  <si>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</si>
  <si>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</si>
  <si>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</si>
  <si>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</si>
  <si>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</si>
  <si>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</si>
  <si>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</si>
  <si>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</si>
  <si>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</si>
  <si>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</si>
  <si>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</si>
  <si>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</si>
  <si>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</si>
  <si>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</si>
  <si>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</si>
  <si>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</si>
  <si>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</si>
  <si>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</si>
  <si>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</si>
  <si>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</si>
  <si>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</si>
  <si>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</si>
  <si>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</si>
  <si>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</si>
  <si>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</si>
  <si>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</si>
  <si>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</si>
  <si>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</si>
  <si>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</si>
  <si>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</si>
  <si>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</si>
  <si>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</si>
  <si>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</si>
  <si>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</si>
  <si>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</si>
  <si>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</si>
  <si>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</si>
  <si>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</si>
  <si>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</si>
  <si>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</si>
  <si>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</si>
  <si>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</si>
  <si>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</si>
  <si>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</si>
  <si>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</si>
  <si>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</si>
  <si>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</si>
  <si>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</si>
  <si>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</si>
  <si>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</si>
  <si>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</si>
  <si>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</si>
  <si>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</si>
  <si>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</si>
  <si>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</si>
  <si>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</si>
  <si>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</si>
  <si>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</si>
  <si>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</si>
  <si>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</si>
  <si>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</si>
  <si>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</si>
  <si>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</si>
  <si>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</si>
  <si>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</si>
  <si>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</si>
  <si>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</si>
  <si>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</si>
  <si>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</si>
  <si>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</si>
  <si>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</si>
  <si>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</si>
  <si>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</si>
  <si>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</si>
  <si>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</si>
  <si>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</si>
  <si>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</si>
  <si>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</si>
  <si>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</si>
  <si>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</si>
  <si>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</si>
  <si>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</si>
  <si>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</si>
  <si>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</si>
  <si>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</si>
  <si>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</si>
  <si>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</si>
  <si>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</si>
  <si>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</si>
  <si>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</si>
  <si>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</si>
  <si>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</si>
  <si>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</si>
  <si>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</si>
  <si>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</si>
  <si>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</si>
  <si>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</si>
  <si>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</si>
  <si>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</si>
  <si>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</si>
  <si>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</si>
  <si>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</si>
  <si>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</si>
  <si>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</si>
  <si>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</si>
  <si>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</si>
  <si>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</si>
  <si>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</si>
  <si>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</si>
  <si>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</si>
  <si>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</si>
  <si>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</si>
  <si>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</si>
  <si>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</si>
  <si>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</si>
  <si>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</si>
  <si>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</si>
  <si>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</si>
  <si>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</si>
  <si>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</si>
  <si>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</si>
  <si>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</si>
  <si>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</si>
  <si>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</si>
  <si>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</si>
  <si>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</si>
  <si>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</si>
  <si>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</si>
  <si>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</si>
  <si>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</si>
  <si>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</si>
  <si>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</si>
  <si>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</si>
  <si>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</si>
  <si>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</si>
  <si>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</si>
  <si>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</si>
  <si>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</si>
  <si>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</si>
  <si>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</si>
  <si>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</si>
  <si>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</si>
  <si>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</si>
  <si>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</si>
  <si>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</si>
  <si>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</si>
  <si>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</si>
  <si>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</si>
  <si>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</si>
  <si>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</si>
  <si>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</si>
  <si>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</si>
  <si>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</si>
  <si>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</si>
  <si>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</si>
  <si>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</si>
  <si>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</si>
  <si>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</si>
  <si>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</si>
  <si>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</si>
  <si>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</si>
  <si>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</si>
  <si>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</si>
  <si>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</si>
  <si>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</si>
  <si>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</si>
  <si>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</si>
  <si>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</si>
  <si>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</si>
  <si>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</si>
  <si>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</si>
  <si>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</si>
  <si>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</si>
  <si>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</si>
  <si>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</si>
  <si>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</si>
  <si>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</si>
  <si>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</si>
  <si>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</si>
  <si>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</si>
  <si>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</si>
  <si>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</si>
  <si>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</si>
  <si>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</si>
  <si>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</si>
  <si>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</si>
  <si>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</si>
  <si>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</si>
  <si>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</si>
  <si>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</si>
  <si>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</si>
  <si>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</si>
  <si>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</si>
  <si>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</si>
  <si>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</si>
  <si>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</si>
  <si>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</si>
  <si>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</si>
  <si>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</si>
  <si>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</si>
  <si>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</si>
  <si>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</si>
  <si>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</si>
  <si>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</si>
  <si>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</si>
  <si>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</si>
  <si>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</si>
  <si>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</si>
  <si>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</si>
  <si>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</si>
  <si>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</si>
  <si>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</si>
  <si>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</si>
  <si>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</si>
  <si>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</si>
  <si>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</si>
  <si>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</si>
  <si>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</si>
  <si>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</si>
  <si>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</si>
  <si>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</si>
  <si>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</si>
  <si>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</si>
  <si>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</si>
  <si>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</si>
  <si>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</si>
  <si>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</si>
  <si>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</si>
  <si>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</si>
  <si>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</si>
  <si>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</si>
  <si>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</si>
  <si>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</si>
  <si>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</si>
  <si>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</si>
  <si>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</si>
  <si>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</si>
  <si>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</si>
  <si>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</si>
  <si>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</si>
  <si>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</si>
  <si>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</si>
  <si>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</si>
  <si>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</si>
  <si>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</si>
  <si>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</si>
  <si>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</si>
  <si>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</si>
  <si>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</si>
  <si>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</si>
  <si>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</si>
  <si>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</si>
  <si>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</si>
  <si>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</si>
  <si>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</si>
  <si>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</si>
  <si>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</si>
  <si>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</si>
  <si>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</si>
  <si>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</si>
  <si>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</si>
  <si>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</si>
  <si>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</si>
  <si>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</si>
  <si>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</si>
  <si>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</si>
  <si>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</si>
  <si>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</si>
  <si>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</si>
  <si>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</si>
  <si>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</si>
  <si>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</si>
  <si>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</si>
  <si>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</si>
  <si>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</si>
  <si>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</si>
  <si>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</si>
  <si>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</si>
  <si>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</si>
  <si>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</si>
  <si>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</si>
  <si>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</si>
  <si>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</si>
  <si>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</si>
  <si>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</si>
  <si>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</si>
  <si>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</si>
  <si>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</si>
  <si>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</si>
  <si>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</si>
  <si>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</si>
  <si>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</si>
  <si>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</si>
  <si>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</si>
  <si>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</si>
  <si>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</si>
  <si>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</si>
  <si>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</si>
  <si>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</si>
  <si>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</si>
  <si>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</si>
  <si>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</si>
  <si>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</si>
  <si>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</si>
  <si>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</si>
  <si>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</si>
  <si>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</si>
  <si>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</si>
  <si>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</si>
  <si>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</si>
  <si>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</si>
  <si>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</si>
  <si>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</si>
  <si>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</si>
  <si>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</si>
  <si>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</si>
  <si>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</si>
  <si>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</si>
  <si>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</si>
  <si>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</si>
  <si>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</si>
  <si>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</si>
  <si>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</si>
  <si>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</si>
  <si>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</si>
  <si>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</si>
  <si>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</si>
  <si>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</si>
  <si>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</si>
  <si>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</si>
  <si>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</si>
  <si>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</si>
  <si>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</si>
  <si>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</si>
  <si>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</si>
  <si>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</si>
  <si>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</si>
  <si>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</si>
  <si>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</si>
  <si>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</si>
  <si>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</si>
  <si>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</si>
  <si>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</si>
  <si>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</si>
  <si>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</si>
  <si>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</si>
  <si>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</si>
  <si>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</si>
  <si>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</si>
  <si>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</si>
  <si>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</si>
  <si>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</si>
  <si>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</si>
  <si>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</si>
  <si>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</si>
  <si>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</si>
  <si>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</si>
  <si>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</si>
  <si>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</si>
  <si>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</si>
  <si>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</si>
  <si>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</si>
  <si>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</si>
  <si>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</si>
  <si>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</si>
  <si>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</si>
  <si>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</si>
  <si>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</si>
  <si>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</si>
  <si>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</si>
  <si>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</si>
  <si>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</si>
  <si>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</si>
  <si>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</si>
  <si>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</si>
  <si>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</si>
  <si>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</si>
  <si>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</si>
  <si>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</si>
  <si>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</si>
  <si>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</si>
  <si>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</si>
  <si>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</si>
  <si>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</si>
  <si>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</si>
  <si>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</si>
  <si>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</si>
  <si>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</si>
  <si>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</si>
  <si>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</si>
  <si>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</si>
  <si>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</si>
  <si>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</si>
  <si>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</si>
  <si>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</si>
  <si>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</si>
  <si>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</si>
  <si>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</si>
  <si>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</si>
  <si>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</si>
  <si>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</si>
  <si>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</si>
  <si>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</si>
  <si>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</si>
  <si>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</si>
  <si>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</si>
  <si>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</si>
  <si>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</si>
  <si>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</si>
  <si>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</si>
  <si>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</si>
  <si>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</si>
  <si>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</si>
  <si>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</si>
  <si>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</si>
  <si>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</si>
  <si>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</si>
  <si>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</si>
  <si>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</si>
  <si>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</si>
  <si>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</si>
  <si>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</si>
  <si>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</si>
  <si>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</si>
  <si>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</si>
  <si>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</si>
  <si>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</si>
  <si>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</si>
  <si>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</si>
  <si>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</si>
  <si>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</si>
  <si>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</si>
  <si>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</si>
  <si>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</si>
  <si>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</si>
  <si>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</si>
  <si>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</si>
  <si>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</si>
  <si>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</si>
  <si>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</si>
  <si>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</si>
  <si>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</si>
  <si>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</si>
  <si>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</si>
  <si>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</si>
  <si>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</si>
  <si>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</si>
  <si>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</si>
  <si>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</si>
  <si>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</si>
  <si>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</si>
  <si>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</si>
  <si>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</si>
  <si>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</si>
  <si>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</si>
  <si>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</si>
  <si>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</si>
  <si>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</si>
  <si>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</si>
  <si>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</si>
  <si>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</si>
  <si>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</si>
  <si>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</si>
  <si>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</si>
  <si>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</si>
  <si>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</si>
  <si>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</si>
  <si>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</si>
  <si>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</si>
  <si>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</si>
  <si>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</si>
  <si>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</si>
  <si>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</si>
  <si>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</si>
  <si>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</si>
  <si>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</si>
  <si>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</si>
  <si>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</si>
  <si>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</si>
  <si>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</si>
  <si>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</si>
  <si>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</si>
  <si>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</si>
  <si>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</si>
  <si>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</si>
  <si>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</si>
  <si>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</si>
  <si>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</si>
  <si>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</si>
  <si>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</si>
  <si>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</si>
  <si>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</si>
  <si>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</si>
  <si>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</si>
  <si>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</si>
  <si>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</si>
  <si>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</si>
  <si>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</si>
  <si>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</si>
  <si>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</si>
  <si>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</si>
  <si>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</si>
  <si>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</si>
  <si>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</si>
  <si>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</si>
  <si>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</si>
  <si>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</si>
  <si>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</si>
  <si>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</si>
  <si>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</si>
  <si>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</si>
  <si>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</si>
  <si>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</si>
  <si>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</si>
  <si>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</si>
  <si>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</si>
  <si>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</si>
  <si>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</si>
  <si>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</si>
  <si>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</si>
  <si>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</si>
  <si>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</si>
  <si>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</si>
  <si>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</si>
  <si>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</si>
  <si>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</si>
  <si>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</si>
  <si>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</si>
  <si>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</si>
  <si>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</si>
  <si>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</si>
  <si>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</si>
  <si>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</si>
  <si>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</si>
  <si>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</si>
  <si>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</si>
  <si>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</si>
  <si>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</si>
  <si>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</si>
  <si>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</si>
  <si>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</si>
  <si>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</si>
  <si>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</si>
  <si>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</si>
  <si>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</si>
  <si>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</si>
  <si>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</si>
  <si>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</si>
  <si>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</si>
  <si>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</si>
  <si>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</si>
  <si>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</si>
  <si>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</si>
  <si>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</si>
  <si>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</si>
  <si>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</si>
  <si>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</si>
  <si>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</si>
  <si>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</si>
  <si>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</si>
  <si>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</si>
  <si>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</si>
  <si>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</si>
  <si>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</si>
  <si>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</si>
  <si>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</si>
  <si>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</si>
  <si>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</si>
  <si>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</si>
  <si>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</si>
  <si>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</si>
  <si>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</si>
  <si>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</si>
  <si>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</si>
  <si>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</si>
  <si>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</si>
  <si>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</si>
  <si>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</si>
  <si>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</si>
  <si>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</si>
  <si>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</si>
  <si>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</si>
  <si>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</si>
  <si>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</si>
  <si>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</si>
  <si>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</si>
  <si>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</si>
  <si>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</si>
  <si>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</si>
  <si>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</si>
  <si>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</si>
  <si>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</si>
  <si>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</si>
  <si>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</si>
  <si>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</si>
  <si>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</si>
  <si>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</si>
  <si>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</si>
  <si>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</si>
  <si>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</si>
  <si>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</si>
  <si>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</si>
  <si>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</si>
  <si>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</si>
  <si>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</si>
  <si>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</si>
  <si>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</si>
  <si>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</si>
  <si>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</si>
  <si>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</si>
  <si>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</si>
  <si>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</si>
  <si>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</si>
  <si>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</si>
  <si>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</si>
  <si>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</si>
  <si>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</si>
  <si>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</si>
  <si>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</si>
  <si>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</si>
  <si>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</si>
  <si>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</si>
  <si>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</si>
  <si>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</si>
  <si>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</si>
  <si>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</si>
  <si>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</si>
  <si>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</si>
  <si>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</si>
  <si>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</si>
  <si>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</si>
  <si>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</si>
  <si>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</si>
  <si>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</si>
  <si>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</si>
  <si>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</si>
  <si>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</si>
  <si>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</si>
  <si>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</si>
  <si>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</si>
  <si>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</si>
  <si>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</si>
  <si>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</si>
  <si>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</si>
  <si>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</si>
  <si>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</si>
  <si>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</si>
  <si>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</si>
  <si>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</si>
  <si>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</si>
  <si>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</si>
  <si>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</si>
  <si>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</si>
  <si>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</si>
  <si>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</si>
  <si>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</si>
  <si>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</si>
  <si>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</si>
  <si>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</si>
  <si>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</si>
  <si>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</si>
  <si>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</si>
  <si>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</si>
  <si>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</si>
  <si>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</si>
  <si>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</si>
  <si>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</si>
  <si>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</si>
  <si>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</si>
  <si>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</si>
  <si>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</si>
  <si>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</si>
  <si>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</si>
  <si>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</si>
  <si>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</si>
  <si>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</si>
  <si>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</si>
  <si>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</si>
  <si>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</si>
  <si>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</si>
  <si>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</si>
  <si>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</si>
  <si>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</si>
  <si>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</si>
  <si>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</si>
  <si>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</si>
  <si>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</si>
  <si>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</si>
  <si>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</si>
  <si>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</si>
  <si>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</si>
  <si>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</si>
  <si>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</si>
  <si>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</si>
  <si>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</si>
  <si>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</si>
  <si>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</si>
  <si>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</si>
  <si>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</si>
  <si>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</si>
  <si>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</si>
  <si>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</si>
  <si>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</si>
  <si>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</si>
  <si>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</si>
  <si>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</si>
  <si>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</si>
  <si>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</si>
  <si>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</si>
  <si>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</si>
  <si>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</si>
  <si>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</si>
  <si>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</si>
  <si>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</si>
  <si>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</si>
  <si>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</si>
  <si>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</si>
  <si>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</si>
  <si>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</si>
  <si>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</si>
  <si>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</si>
  <si>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</si>
  <si>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</si>
  <si>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</si>
  <si>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</si>
  <si>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</si>
  <si>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</si>
  <si>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</si>
  <si>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</si>
  <si>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</si>
  <si>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</si>
  <si>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</si>
  <si>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</si>
  <si>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</si>
  <si>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</si>
  <si>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</si>
  <si>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</si>
  <si>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</si>
  <si>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</si>
  <si>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</si>
  <si>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</si>
  <si>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</si>
  <si>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</si>
  <si>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</si>
  <si>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</si>
  <si>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</si>
  <si>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</si>
  <si>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</si>
  <si>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</si>
  <si>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</si>
  <si>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</si>
  <si>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</si>
  <si>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</si>
  <si>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</si>
  <si>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</si>
  <si>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</si>
  <si>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</si>
  <si>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</si>
  <si>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</si>
  <si>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</si>
  <si>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</si>
  <si>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</si>
  <si>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</si>
  <si>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</si>
  <si>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</si>
  <si>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</si>
  <si>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</si>
  <si>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</si>
  <si>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</si>
  <si>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</si>
  <si>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</si>
  <si>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</si>
  <si>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</si>
  <si>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</si>
  <si>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</si>
  <si>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</si>
  <si>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</si>
  <si>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</si>
  <si>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</si>
  <si>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</si>
  <si>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</si>
  <si>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</si>
  <si>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</si>
  <si>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</si>
  <si>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</si>
  <si>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</si>
  <si>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</si>
  <si>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</si>
  <si>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</si>
  <si>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</si>
  <si>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</si>
  <si>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</si>
  <si>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</si>
  <si>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</si>
  <si>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</si>
  <si>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</si>
  <si>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</si>
  <si>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</si>
  <si>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</si>
  <si>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</si>
  <si>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</si>
  <si>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</si>
  <si>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</si>
  <si>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</si>
  <si>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</si>
  <si>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</si>
  <si>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</si>
  <si>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</si>
  <si>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</si>
  <si>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</si>
  <si>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</si>
  <si>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</si>
  <si>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</si>
  <si>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</si>
  <si>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</si>
  <si>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</si>
  <si>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</si>
  <si>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</si>
  <si>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</si>
  <si>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</si>
  <si>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</si>
  <si>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</si>
  <si>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</si>
  <si>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</si>
  <si>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</si>
  <si>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</si>
  <si>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</si>
  <si>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</si>
  <si>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</si>
  <si>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</si>
  <si>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</si>
  <si>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</si>
  <si>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</si>
  <si>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</si>
  <si>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</si>
  <si>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</si>
  <si>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</si>
  <si>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</si>
  <si>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</si>
  <si>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</si>
  <si>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</si>
  <si>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</si>
  <si>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</si>
  <si>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</si>
  <si>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</si>
  <si>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</si>
  <si>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</si>
  <si>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</si>
  <si>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</si>
  <si>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</si>
  <si>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</si>
  <si>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</si>
  <si>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</si>
  <si>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</si>
  <si>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</si>
  <si>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</si>
  <si>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</si>
  <si>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</si>
  <si>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</si>
  <si>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</si>
  <si>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</si>
  <si>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</si>
  <si>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</si>
  <si>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</si>
  <si>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</si>
  <si>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</si>
  <si>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</si>
  <si>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</si>
  <si>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</si>
  <si>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</si>
  <si>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</si>
  <si>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</si>
  <si>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</si>
  <si>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</si>
  <si>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</si>
  <si>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</si>
  <si>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</si>
  <si>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</si>
  <si>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</si>
  <si>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</si>
  <si>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</si>
  <si>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</si>
  <si>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</si>
  <si>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</si>
  <si>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</si>
  <si>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</si>
  <si>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</si>
  <si>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</si>
  <si>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</si>
  <si>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</si>
  <si>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</si>
  <si>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</si>
  <si>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</si>
  <si>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</si>
  <si>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</si>
  <si>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</si>
  <si>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</si>
  <si>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</si>
  <si>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</si>
  <si>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</si>
  <si>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</si>
  <si>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</si>
  <si>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</si>
  <si>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</si>
  <si>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</si>
  <si>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</si>
  <si>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</si>
  <si>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</si>
  <si>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</si>
  <si>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</si>
  <si>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</si>
  <si>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</si>
  <si>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</si>
  <si>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</si>
  <si>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</si>
  <si>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</si>
  <si>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</si>
  <si>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</si>
  <si>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</si>
  <si>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</si>
  <si>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</si>
  <si>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</si>
  <si>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</si>
  <si>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</si>
  <si>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</si>
  <si>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</si>
  <si>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</si>
  <si>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</si>
  <si>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</si>
  <si>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</si>
  <si>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</si>
  <si>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</si>
  <si>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</si>
  <si>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</si>
  <si>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</si>
  <si>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</si>
  <si>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</si>
  <si>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</si>
  <si>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</si>
  <si>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</si>
  <si>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</si>
  <si>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</si>
  <si>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</si>
  <si>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</si>
  <si>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</si>
  <si>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</si>
  <si>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</si>
  <si>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</si>
  <si>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</si>
  <si>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</si>
  <si>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</si>
  <si>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</si>
  <si>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</si>
  <si>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</si>
  <si>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</si>
  <si>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</si>
  <si>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</si>
  <si>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</si>
  <si>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</si>
  <si>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</si>
  <si>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</si>
  <si>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</si>
  <si>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</si>
  <si>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</si>
  <si>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</si>
  <si>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</si>
  <si>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</si>
  <si>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</si>
  <si>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</si>
  <si>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</si>
  <si>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</si>
  <si>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</si>
  <si>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</si>
  <si>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</si>
  <si>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</si>
  <si>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</si>
  <si>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</si>
  <si>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</si>
  <si>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</si>
  <si>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</si>
  <si>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</si>
  <si>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</si>
  <si>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</si>
  <si>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</si>
  <si>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</si>
  <si>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</si>
  <si>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</si>
  <si>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</si>
  <si>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</si>
  <si>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</si>
  <si>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</si>
  <si>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</si>
  <si>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</si>
  <si>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</si>
  <si>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</si>
  <si>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</si>
  <si>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</si>
  <si>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</si>
  <si>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</si>
  <si>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</si>
  <si>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</si>
  <si>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</si>
  <si>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</si>
  <si>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</si>
  <si>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</si>
  <si>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</si>
  <si>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</si>
  <si>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</si>
  <si>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</si>
  <si>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</si>
  <si>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</si>
  <si>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</si>
  <si>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</si>
  <si>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</si>
  <si>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</si>
  <si>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</si>
  <si>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</si>
  <si>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</si>
  <si>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</si>
  <si>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</si>
  <si>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</si>
  <si>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</si>
  <si>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</si>
  <si>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</si>
  <si>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</si>
  <si>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</si>
  <si>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</si>
  <si>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</si>
  <si>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</si>
  <si>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</si>
  <si>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</si>
  <si>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</si>
  <si>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</si>
  <si>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</si>
  <si>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</si>
  <si>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</si>
  <si>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</si>
  <si>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</si>
  <si>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</si>
  <si>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</si>
  <si>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</si>
  <si>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</si>
  <si>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</si>
  <si>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</si>
  <si>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</si>
  <si>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</si>
  <si>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</si>
  <si>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</si>
  <si>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</si>
  <si>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</si>
  <si>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</si>
  <si>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</si>
  <si>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</si>
  <si>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</si>
  <si>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</si>
  <si>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</si>
  <si>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</si>
  <si>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</si>
  <si>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</si>
  <si>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</si>
  <si>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</si>
  <si>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</si>
  <si>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</si>
  <si>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</si>
  <si>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</si>
  <si>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</si>
  <si>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</si>
  <si>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</si>
  <si>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</si>
  <si>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</si>
  <si>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</si>
  <si>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</si>
  <si>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</si>
  <si>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</si>
  <si>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</si>
  <si>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</si>
  <si>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</si>
  <si>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</si>
  <si>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</si>
  <si>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</si>
  <si>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</si>
  <si>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</si>
  <si>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</si>
  <si>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</si>
  <si>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</si>
  <si>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Above 50th</t>
  </si>
  <si>
    <t>Within Census Tract</t>
  </si>
  <si>
    <t>Near Census Tract</t>
  </si>
  <si>
    <t>9% Credit Competitive Round only</t>
  </si>
  <si>
    <t>Zimmerman Properties SE, LLC</t>
  </si>
  <si>
    <t>Vaughn Zimmerman</t>
  </si>
  <si>
    <t>Managing Member</t>
  </si>
  <si>
    <t>zpse@wilhoitproperties.com</t>
  </si>
  <si>
    <t>Robert Fink</t>
  </si>
  <si>
    <t>VP Development</t>
  </si>
  <si>
    <t>rfink@wilhoitproperties.com</t>
  </si>
  <si>
    <t>Redland Trace</t>
  </si>
  <si>
    <t>Unincorporated County</t>
  </si>
  <si>
    <t>Truist Community Capital</t>
  </si>
  <si>
    <t>Specialty Finance Group</t>
  </si>
  <si>
    <t>Amortizing</t>
  </si>
  <si>
    <t>Market Study, Appraisal, Plan &amp; Cost Review</t>
  </si>
  <si>
    <t>High-Rise Elevator</t>
  </si>
  <si>
    <t>Georgia North</t>
  </si>
  <si>
    <t>US Department of Housing and Urban Development (DCA)</t>
  </si>
  <si>
    <t>04/01/2024</t>
  </si>
  <si>
    <t>HUD</t>
  </si>
  <si>
    <t>Thrid party cost incurred by the lender, but required to be paid by the development.  These are separate and distinct from other thrid party reports paid be owner.</t>
  </si>
  <si>
    <t>40% of Units at 60% of AMI</t>
  </si>
  <si>
    <t>N/a</t>
  </si>
  <si>
    <t>Other (FICA,WC,Bouns,etc)</t>
  </si>
  <si>
    <t>Other (decorating)</t>
  </si>
  <si>
    <t>Gwinnett SFLRF</t>
  </si>
  <si>
    <t>For Profit</t>
  </si>
  <si>
    <t>Applicant has secured a commitment of funds from Gwinnett County for two points of leverage</t>
  </si>
  <si>
    <t>Applicant commits to using a QB for 10% of construction costs, under part A</t>
  </si>
  <si>
    <t>Applicant commits to providing eight (8) units for referral and will execute the MOU, post selection, as stated in the QAP.</t>
  </si>
  <si>
    <t>Submitted</t>
  </si>
  <si>
    <t>Development qualifies for 20 points of desirable amenities</t>
  </si>
  <si>
    <t>33.936824</t>
  </si>
  <si>
    <t>-84.032159</t>
  </si>
  <si>
    <t>-84.028220</t>
  </si>
  <si>
    <t>33.935496</t>
  </si>
  <si>
    <t>https://www.gwinnettcounty.com/web/gwinnett/departments/transportation/gwinnettcountytransit</t>
  </si>
  <si>
    <t>Transit@GwinnettCounty.com</t>
  </si>
  <si>
    <t>770.822.8000</t>
  </si>
  <si>
    <t>Ride Gwinnett Route 40 has bus stop within .3 miles of the development’s pedestrian entrance.</t>
  </si>
  <si>
    <t>Cedar Hill Elementary</t>
  </si>
  <si>
    <t>Richards Middle School</t>
  </si>
  <si>
    <t>Discovery High School</t>
  </si>
  <si>
    <t>Both Cedar Hill Elementary and Discovery High School are qualified under DCA Option C, Richards Middle School was Beating the Odds in 2018.</t>
  </si>
  <si>
    <t>Redland Trace is located within the one-mile radius of Zimmerman’s Villas at Redland Creek.  Villas at Redland Creek was a 2016 awarded deal (2016-024).  Thus, there are no awards within the past six years, and we are claiming three points.</t>
  </si>
  <si>
    <t>n/a for Atlanta Metro</t>
  </si>
  <si>
    <t>Managing Member of the General Partner</t>
  </si>
  <si>
    <t>2024QD053</t>
  </si>
  <si>
    <t>Ride Gwinnett (Gwinnett County Transit)</t>
  </si>
  <si>
    <t>Applicant plans to use Rainbow House, inc. (or another CORES provider)</t>
  </si>
  <si>
    <t>State and Local Fiscal Recovery Funds</t>
  </si>
  <si>
    <t>Gwinnett County</t>
  </si>
  <si>
    <t>Applicant has provided the Georgia North UAs as supporting documentation in folder 52</t>
  </si>
  <si>
    <t xml:space="preserve">All cost are incurred with as part of the construction of the building. </t>
  </si>
  <si>
    <t>Redland Trace is located in Census Tract 13135050590 (“505.90”); the applicant is using both this tract and the adjacent tract of 13135050520 ("505.20.")</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</si>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</sst>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175" fontId="13" fillId="10" borderId="124" xfId="0" quotePrefix="1" applyNumberFormat="1" applyFont="1" applyFill="1" applyBorder="1" applyAlignment="1" applyProtection="1">
      <alignment horizontal="center" vertical="center"/>
      <protection locked="0"/>
    </xf>
    <xf numFmtId="167" fontId="3" fillId="5" borderId="83" xfId="37" quotePrefix="1" applyNumberForma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quotePrefix="1"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quotePrefix="1"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quotePrefix="1" applyFont="1" applyFill="1" applyBorder="1" applyAlignment="1" applyProtection="1">
      <alignment horizontal="center"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130" fillId="5" borderId="75" xfId="37" quotePrefix="1" applyFont="1" applyFill="1" applyBorder="1" applyAlignment="1" applyProtection="1">
      <alignment horizontal="left" vertical="top" wrapText="1"/>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Redland Trace</v>
      </c>
    </row>
    <row r="3" spans="1:6" ht="15" customHeight="1">
      <c r="A3" s="654" t="str">
        <f>CONCATENATE('Part I-Project Identification'!F27,", ", 'Part I-Project Identification'!J27," County")</f>
        <v>Lawrenceville, Gwinnett County</v>
      </c>
    </row>
    <row r="4" spans="1:6" ht="12" customHeight="1">
      <c r="A4" s="1062"/>
    </row>
    <row r="5" spans="1:6" ht="72" customHeight="1">
      <c r="A5" s="2907" t="s">
        <v>3974</v>
      </c>
      <c r="B5" s="2908" t="s">
        <v>3773</v>
      </c>
      <c r="C5" s="2908"/>
      <c r="D5" s="2908"/>
      <c r="E5" s="2908"/>
      <c r="F5" s="2908"/>
    </row>
    <row r="6" spans="1:6" ht="6.6" customHeight="1">
      <c r="A6" s="2907"/>
      <c r="B6" s="2908"/>
      <c r="C6" s="2908"/>
      <c r="D6" s="2908"/>
      <c r="E6" s="2908"/>
      <c r="F6" s="2908"/>
    </row>
    <row r="7" spans="1:6" ht="72" customHeight="1">
      <c r="A7" s="2907"/>
      <c r="B7" s="2908"/>
      <c r="C7" s="2908"/>
      <c r="D7" s="2908"/>
      <c r="E7" s="2908"/>
      <c r="F7" s="2908"/>
    </row>
    <row r="8" spans="1:6" ht="6.6" customHeight="1">
      <c r="A8" s="2907"/>
    </row>
    <row r="9" spans="1:6" ht="72" customHeight="1">
      <c r="A9" s="2907"/>
    </row>
    <row r="10" spans="1:6" ht="6.6" customHeight="1">
      <c r="A10" s="2907"/>
    </row>
    <row r="11" spans="1:6" ht="72" customHeight="1">
      <c r="A11" s="2907"/>
    </row>
    <row r="12" spans="1:6" ht="6.6" customHeight="1">
      <c r="A12" s="2907"/>
    </row>
    <row r="13" spans="1:6" ht="72" customHeight="1">
      <c r="A13" s="2907"/>
    </row>
    <row r="14" spans="1:6" ht="6.6" customHeight="1">
      <c r="A14" s="2907"/>
    </row>
    <row r="15" spans="1:6" ht="72" customHeight="1">
      <c r="A15" s="2907"/>
    </row>
    <row r="16" spans="1:6" ht="6.6" customHeight="1">
      <c r="A16" s="2907"/>
    </row>
    <row r="17" spans="1:1" ht="72" customHeight="1">
      <c r="A17" s="2907"/>
    </row>
    <row r="18" spans="1:1" ht="6.6" customHeight="1">
      <c r="A18" s="2907"/>
    </row>
    <row r="19" spans="1:1" ht="72" customHeight="1">
      <c r="A19" s="2907"/>
    </row>
    <row r="20" spans="1:1" ht="6.6" customHeight="1">
      <c r="A20" s="2907"/>
    </row>
    <row r="21" spans="1:1" ht="72" customHeight="1">
      <c r="A21" s="2907"/>
    </row>
    <row r="22" spans="1:1" ht="6.6" customHeight="1">
      <c r="A22" s="2907"/>
    </row>
    <row r="23" spans="1:1" ht="72" customHeight="1">
      <c r="A23" s="2907"/>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dimension ref="A1:RY303"/>
  <sheetViews>
    <sheetView showGridLines="0" tabSelected="1" topLeftCell="A226" zoomScaleNormal="100" workbookViewId="0">
      <selection activeCell="Q234" sqref="Q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7"/>
    <col min="284" max="287" width="9.28515625" style="356"/>
    <col min="288" max="288" width="9.28515625" style="1657"/>
    <col min="289" max="292" width="11.42578125" style="356" customWidth="1"/>
    <col min="293" max="293" width="11.42578125" style="1657" customWidth="1"/>
    <col min="294" max="297" width="11.42578125" style="356" customWidth="1"/>
    <col min="298" max="298" width="11.42578125" style="1657" customWidth="1"/>
    <col min="299" max="313" width="9.28515625" style="1657"/>
    <col min="314" max="318" width="11" style="1657" customWidth="1"/>
    <col min="319" max="319" width="9.28515625" style="1657"/>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0"/>
    <col min="381" max="381" width="9.28515625" style="2478"/>
    <col min="382" max="493" width="9.28515625" style="115"/>
    <col min="494" max="16384" width="9.28515625" style="62"/>
  </cols>
  <sheetData>
    <row r="1" spans="1:493" s="1630" customFormat="1" hidden="1">
      <c r="B1" s="1630" t="s">
        <v>4292</v>
      </c>
      <c r="C1" s="1630" t="s">
        <v>164</v>
      </c>
      <c r="D1" s="1630" t="s">
        <v>166</v>
      </c>
      <c r="E1" s="1630" t="s">
        <v>4293</v>
      </c>
      <c r="F1" s="1630" t="s">
        <v>4294</v>
      </c>
      <c r="G1" s="1630" t="s">
        <v>4295</v>
      </c>
      <c r="H1" s="1630" t="s">
        <v>4296</v>
      </c>
      <c r="I1" s="1630" t="s">
        <v>4297</v>
      </c>
      <c r="J1" s="1630" t="s">
        <v>4298</v>
      </c>
      <c r="K1" s="1630" t="s">
        <v>3051</v>
      </c>
      <c r="L1" s="1630" t="s">
        <v>4299</v>
      </c>
      <c r="M1" s="1630" t="s">
        <v>4300</v>
      </c>
      <c r="N1" s="1630" t="s">
        <v>4301</v>
      </c>
      <c r="O1" s="1630" t="s">
        <v>4302</v>
      </c>
      <c r="P1" s="1630" t="s">
        <v>362</v>
      </c>
      <c r="Q1" s="1630" t="s">
        <v>4303</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7"/>
      <c r="JX1" s="356"/>
      <c r="JY1" s="356"/>
      <c r="JZ1" s="356"/>
      <c r="KA1" s="356"/>
      <c r="KB1" s="1657"/>
      <c r="KC1" s="356"/>
      <c r="KD1" s="356"/>
      <c r="KE1" s="356"/>
      <c r="KF1" s="356"/>
      <c r="KG1" s="1657"/>
      <c r="KH1" s="356"/>
      <c r="KI1" s="356"/>
      <c r="KJ1" s="356"/>
      <c r="KK1" s="356"/>
      <c r="KL1" s="1657"/>
      <c r="KM1" s="1657"/>
      <c r="KN1" s="1657"/>
      <c r="KO1" s="1657"/>
      <c r="KP1" s="1657"/>
      <c r="KQ1" s="1657"/>
      <c r="KR1" s="1657"/>
      <c r="KS1" s="1657"/>
      <c r="KT1" s="1657"/>
      <c r="KU1" s="1657"/>
      <c r="KV1" s="1657"/>
      <c r="KW1" s="1657"/>
      <c r="KX1" s="1657"/>
      <c r="KY1" s="1657"/>
      <c r="KZ1" s="1657"/>
      <c r="LA1" s="1657"/>
      <c r="LB1" s="1657"/>
      <c r="LC1" s="1657"/>
      <c r="LD1" s="1657"/>
      <c r="LE1" s="1657"/>
      <c r="LF1" s="1657"/>
      <c r="LG1" s="1657"/>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78"/>
      <c r="NR1" s="1868"/>
      <c r="NS1" s="1868"/>
      <c r="NT1" s="1868"/>
      <c r="NU1" s="1868"/>
      <c r="NV1" s="1868"/>
      <c r="NW1" s="1868"/>
      <c r="NX1" s="1868"/>
      <c r="NY1" s="1868"/>
      <c r="NZ1" s="1868"/>
      <c r="OA1" s="1868"/>
      <c r="OB1" s="1868"/>
      <c r="OC1" s="1868"/>
      <c r="OD1" s="1868"/>
      <c r="OE1" s="1868"/>
      <c r="OF1" s="1868"/>
      <c r="OG1" s="1868"/>
      <c r="OH1" s="1868"/>
    </row>
    <row r="2" spans="1:493" s="69" customFormat="1" ht="14.1" customHeight="1">
      <c r="A2" s="3514" t="str">
        <f>CONCATENATE("PART FOUR - PROJECTED REVENUES &amp; EXPENSES","  -  ",'Part I-Project Identification'!$O$7," ",'Part I-Project Identification'!$F$26,", ",'Part I-Project Identification'!F27,", ",'Part I-Project Identification'!J27," County")</f>
        <v>PART FOUR - PROJECTED REVENUES &amp; EXPENSES  -  2024-0 Redland Trace, Lawrenceville, Gwinnett County</v>
      </c>
      <c r="B2" s="3515"/>
      <c r="C2" s="3515"/>
      <c r="D2" s="3515"/>
      <c r="E2" s="3515"/>
      <c r="F2" s="3515"/>
      <c r="G2" s="3515"/>
      <c r="H2" s="3515"/>
      <c r="I2" s="3515"/>
      <c r="J2" s="3515"/>
      <c r="K2" s="3515"/>
      <c r="L2" s="3515"/>
      <c r="M2" s="3515"/>
      <c r="N2" s="3515"/>
      <c r="O2" s="3515"/>
      <c r="P2" s="3515"/>
      <c r="Q2" s="3516"/>
      <c r="T2" s="1363" t="str">
        <f>A2</f>
        <v>PART FOUR - PROJECTED REVENUES &amp; EXPENSES  -  2024-0 Redland Trace, Lawrenceville, Gwinnett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3"/>
      <c r="KJ2" s="1803"/>
      <c r="KK2" s="1803"/>
      <c r="KL2" s="1803"/>
      <c r="KM2" s="358"/>
      <c r="KN2" s="358"/>
      <c r="KO2" s="1656"/>
      <c r="KP2" s="358"/>
      <c r="KQ2" s="358"/>
      <c r="KR2" s="358"/>
      <c r="KS2" s="358"/>
      <c r="KT2" s="1656"/>
      <c r="KU2" s="358"/>
      <c r="KV2" s="358"/>
      <c r="KW2" s="358"/>
      <c r="KX2" s="358"/>
      <c r="KY2" s="1656"/>
      <c r="KZ2" s="358"/>
      <c r="LA2" s="358"/>
      <c r="LB2" s="358"/>
      <c r="LC2" s="358"/>
      <c r="LD2" s="1656"/>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1"/>
      <c r="NQ2" s="2480">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3"/>
      <c r="KJ3" s="1793"/>
      <c r="KK3" s="1793"/>
      <c r="KL3" s="1793"/>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78">
        <v>3</v>
      </c>
    </row>
    <row r="4" spans="1:493" s="69" customFormat="1" ht="12.6" customHeight="1">
      <c r="A4" s="4" t="s">
        <v>572</v>
      </c>
      <c r="B4" s="4" t="s">
        <v>2177</v>
      </c>
      <c r="C4" s="1"/>
      <c r="D4" s="1430" t="s">
        <v>3996</v>
      </c>
      <c r="E4" s="1430"/>
      <c r="F4" s="1430"/>
      <c r="G4" s="1430"/>
      <c r="H4" s="1430"/>
      <c r="I4" s="1430"/>
      <c r="J4" s="1430"/>
      <c r="K4" s="93"/>
      <c r="L4" s="93"/>
      <c r="M4" s="93"/>
      <c r="O4" s="153" t="s">
        <v>533</v>
      </c>
      <c r="P4" s="3517" t="str">
        <f>'Part I-Project Identification'!$O$29</f>
        <v>Atlanta-Sandy Springs-Marietta</v>
      </c>
      <c r="Q4" s="3517"/>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3" t="s">
        <v>2239</v>
      </c>
      <c r="KJ4" s="1793" t="s">
        <v>2240</v>
      </c>
      <c r="KK4" s="1793" t="s">
        <v>2241</v>
      </c>
      <c r="KL4" s="1793" t="s">
        <v>2242</v>
      </c>
      <c r="KM4" s="1793" t="s">
        <v>456</v>
      </c>
      <c r="KN4" s="1793" t="s">
        <v>2239</v>
      </c>
      <c r="KO4" s="1793" t="s">
        <v>2240</v>
      </c>
      <c r="KP4" s="1793" t="s">
        <v>2241</v>
      </c>
      <c r="KQ4" s="1793" t="s">
        <v>2242</v>
      </c>
      <c r="KR4" s="1793" t="s">
        <v>456</v>
      </c>
      <c r="KS4" s="1793" t="s">
        <v>2239</v>
      </c>
      <c r="KT4" s="1793" t="s">
        <v>2240</v>
      </c>
      <c r="KU4" s="1793" t="s">
        <v>2241</v>
      </c>
      <c r="KV4" s="1793" t="s">
        <v>2242</v>
      </c>
      <c r="KW4" s="1793" t="s">
        <v>456</v>
      </c>
      <c r="KX4" s="1793" t="s">
        <v>2239</v>
      </c>
      <c r="KY4" s="1793" t="s">
        <v>2240</v>
      </c>
      <c r="KZ4" s="1793" t="s">
        <v>2241</v>
      </c>
      <c r="LA4" s="1793" t="s">
        <v>2242</v>
      </c>
      <c r="LB4" s="1793" t="s">
        <v>456</v>
      </c>
      <c r="LC4" s="1793" t="s">
        <v>2239</v>
      </c>
      <c r="LD4" s="1793" t="s">
        <v>2240</v>
      </c>
      <c r="LE4" s="1793" t="s">
        <v>2241</v>
      </c>
      <c r="LF4" s="1793"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2" t="s">
        <v>2962</v>
      </c>
      <c r="MG4" s="3462" t="s">
        <v>2963</v>
      </c>
      <c r="MH4" s="3462" t="s">
        <v>2964</v>
      </c>
      <c r="MI4" s="3462" t="s">
        <v>2965</v>
      </c>
      <c r="MJ4" s="3462"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1"/>
      <c r="NQ4" s="2480">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4" t="s">
        <v>3119</v>
      </c>
      <c r="R5" s="817"/>
      <c r="S5" s="336"/>
      <c r="T5" s="336"/>
      <c r="U5" s="336"/>
      <c r="W5" s="337"/>
      <c r="X5" s="3456" t="s">
        <v>3563</v>
      </c>
      <c r="Y5" s="3456" t="s">
        <v>3564</v>
      </c>
      <c r="Z5" s="3456" t="s">
        <v>3565</v>
      </c>
      <c r="AA5" s="3456" t="s">
        <v>3566</v>
      </c>
      <c r="AB5" s="3456" t="s">
        <v>3567</v>
      </c>
      <c r="AC5" s="3456" t="s">
        <v>3568</v>
      </c>
      <c r="AD5" s="3456" t="s">
        <v>3569</v>
      </c>
      <c r="AE5" s="3456" t="s">
        <v>3570</v>
      </c>
      <c r="AF5" s="3456" t="s">
        <v>3571</v>
      </c>
      <c r="AG5" s="3456" t="s">
        <v>3572</v>
      </c>
      <c r="AH5" s="3456" t="s">
        <v>860</v>
      </c>
      <c r="AI5" s="3456" t="s">
        <v>704</v>
      </c>
      <c r="AJ5" s="3456" t="s">
        <v>705</v>
      </c>
      <c r="AK5" s="3456" t="s">
        <v>706</v>
      </c>
      <c r="AL5" s="3456" t="s">
        <v>707</v>
      </c>
      <c r="AM5" s="3456" t="s">
        <v>861</v>
      </c>
      <c r="AN5" s="3456" t="s">
        <v>2125</v>
      </c>
      <c r="AO5" s="3456" t="s">
        <v>2126</v>
      </c>
      <c r="AP5" s="3456" t="s">
        <v>2127</v>
      </c>
      <c r="AQ5" s="3456" t="s">
        <v>2128</v>
      </c>
      <c r="AR5" s="3456" t="s">
        <v>3574</v>
      </c>
      <c r="AS5" s="3456" t="s">
        <v>3575</v>
      </c>
      <c r="AT5" s="3456" t="s">
        <v>3576</v>
      </c>
      <c r="AU5" s="3456" t="s">
        <v>3577</v>
      </c>
      <c r="AV5" s="3456" t="s">
        <v>3573</v>
      </c>
      <c r="AW5" s="3456" t="s">
        <v>862</v>
      </c>
      <c r="AX5" s="3456" t="s">
        <v>2129</v>
      </c>
      <c r="AY5" s="3456" t="s">
        <v>2130</v>
      </c>
      <c r="AZ5" s="3456" t="s">
        <v>2131</v>
      </c>
      <c r="BA5" s="3456" t="s">
        <v>2132</v>
      </c>
      <c r="BB5" s="3456" t="s">
        <v>3578</v>
      </c>
      <c r="BC5" s="3456" t="s">
        <v>3579</v>
      </c>
      <c r="BD5" s="3456" t="s">
        <v>3580</v>
      </c>
      <c r="BE5" s="3456" t="s">
        <v>3581</v>
      </c>
      <c r="BF5" s="3456" t="s">
        <v>3582</v>
      </c>
      <c r="BG5" s="3456" t="s">
        <v>123</v>
      </c>
      <c r="BH5" s="3456" t="s">
        <v>2133</v>
      </c>
      <c r="BI5" s="3456" t="s">
        <v>2134</v>
      </c>
      <c r="BJ5" s="3456" t="s">
        <v>2135</v>
      </c>
      <c r="BK5" s="3456" t="s">
        <v>1079</v>
      </c>
      <c r="BL5" s="3456" t="s">
        <v>3583</v>
      </c>
      <c r="BM5" s="3456" t="s">
        <v>3584</v>
      </c>
      <c r="BN5" s="3456" t="s">
        <v>3585</v>
      </c>
      <c r="BO5" s="3456" t="s">
        <v>3586</v>
      </c>
      <c r="BP5" s="3456" t="s">
        <v>3587</v>
      </c>
      <c r="BQ5" s="3456" t="s">
        <v>516</v>
      </c>
      <c r="BR5" s="3456" t="s">
        <v>517</v>
      </c>
      <c r="BS5" s="3456" t="s">
        <v>534</v>
      </c>
      <c r="BT5" s="3456" t="s">
        <v>535</v>
      </c>
      <c r="BU5" s="3456" t="s">
        <v>536</v>
      </c>
      <c r="BV5" s="3456" t="s">
        <v>3588</v>
      </c>
      <c r="BW5" s="3456" t="s">
        <v>3589</v>
      </c>
      <c r="BX5" s="3456" t="s">
        <v>3590</v>
      </c>
      <c r="BY5" s="3456" t="s">
        <v>3591</v>
      </c>
      <c r="BZ5" s="3456" t="s">
        <v>3592</v>
      </c>
      <c r="CA5" s="3456" t="s">
        <v>537</v>
      </c>
      <c r="CB5" s="3456" t="s">
        <v>538</v>
      </c>
      <c r="CC5" s="3456" t="s">
        <v>539</v>
      </c>
      <c r="CD5" s="3456" t="s">
        <v>540</v>
      </c>
      <c r="CE5" s="3456" t="s">
        <v>541</v>
      </c>
      <c r="CF5" s="3456" t="s">
        <v>542</v>
      </c>
      <c r="CG5" s="3456" t="s">
        <v>543</v>
      </c>
      <c r="CH5" s="3456" t="s">
        <v>871</v>
      </c>
      <c r="CI5" s="3456" t="s">
        <v>872</v>
      </c>
      <c r="CJ5" s="3456" t="s">
        <v>873</v>
      </c>
      <c r="CK5" s="3456" t="s">
        <v>3598</v>
      </c>
      <c r="CL5" s="3456" t="s">
        <v>3599</v>
      </c>
      <c r="CM5" s="3456" t="s">
        <v>3600</v>
      </c>
      <c r="CN5" s="3456" t="s">
        <v>3601</v>
      </c>
      <c r="CO5" s="3456" t="s">
        <v>3602</v>
      </c>
      <c r="CP5" s="3456" t="s">
        <v>3593</v>
      </c>
      <c r="CQ5" s="3456" t="s">
        <v>3594</v>
      </c>
      <c r="CR5" s="3456" t="s">
        <v>3595</v>
      </c>
      <c r="CS5" s="3456" t="s">
        <v>3596</v>
      </c>
      <c r="CT5" s="3456" t="s">
        <v>3597</v>
      </c>
      <c r="CU5" s="3456" t="s">
        <v>3603</v>
      </c>
      <c r="CV5" s="3456" t="s">
        <v>3604</v>
      </c>
      <c r="CW5" s="3456" t="s">
        <v>3605</v>
      </c>
      <c r="CX5" s="3456" t="s">
        <v>3606</v>
      </c>
      <c r="CY5" s="3456" t="s">
        <v>3607</v>
      </c>
      <c r="CZ5" s="3456" t="s">
        <v>465</v>
      </c>
      <c r="DA5" s="3456" t="s">
        <v>466</v>
      </c>
      <c r="DB5" s="3456" t="s">
        <v>467</v>
      </c>
      <c r="DC5" s="3456" t="s">
        <v>468</v>
      </c>
      <c r="DD5" s="3456" t="s">
        <v>469</v>
      </c>
      <c r="DE5" s="3456" t="s">
        <v>3608</v>
      </c>
      <c r="DF5" s="3456" t="s">
        <v>3609</v>
      </c>
      <c r="DG5" s="3456" t="s">
        <v>3610</v>
      </c>
      <c r="DH5" s="3456" t="s">
        <v>3611</v>
      </c>
      <c r="DI5" s="3456" t="s">
        <v>3612</v>
      </c>
      <c r="DJ5" s="3456" t="s">
        <v>821</v>
      </c>
      <c r="DK5" s="3456" t="s">
        <v>822</v>
      </c>
      <c r="DL5" s="3456" t="s">
        <v>823</v>
      </c>
      <c r="DM5" s="3456" t="s">
        <v>824</v>
      </c>
      <c r="DN5" s="3456" t="s">
        <v>825</v>
      </c>
      <c r="DO5" s="3456" t="s">
        <v>826</v>
      </c>
      <c r="DP5" s="3456" t="s">
        <v>827</v>
      </c>
      <c r="DQ5" s="3456" t="s">
        <v>828</v>
      </c>
      <c r="DR5" s="3456" t="s">
        <v>829</v>
      </c>
      <c r="DS5" s="3456" t="s">
        <v>830</v>
      </c>
      <c r="DT5" s="3456" t="s">
        <v>3613</v>
      </c>
      <c r="DU5" s="3456" t="s">
        <v>3614</v>
      </c>
      <c r="DV5" s="3456" t="s">
        <v>3615</v>
      </c>
      <c r="DW5" s="3456" t="s">
        <v>3616</v>
      </c>
      <c r="DX5" s="3456" t="s">
        <v>3617</v>
      </c>
      <c r="DY5" s="3456" t="s">
        <v>3618</v>
      </c>
      <c r="DZ5" s="3456" t="s">
        <v>3619</v>
      </c>
      <c r="EA5" s="3456" t="s">
        <v>3620</v>
      </c>
      <c r="EB5" s="3456" t="s">
        <v>3621</v>
      </c>
      <c r="EC5" s="3456" t="s">
        <v>3622</v>
      </c>
      <c r="ED5" s="3456" t="s">
        <v>2229</v>
      </c>
      <c r="EE5" s="3456" t="s">
        <v>2230</v>
      </c>
      <c r="EF5" s="3456" t="s">
        <v>2231</v>
      </c>
      <c r="EG5" s="3456" t="s">
        <v>2232</v>
      </c>
      <c r="EH5" s="3456" t="s">
        <v>2233</v>
      </c>
      <c r="EI5" s="3456" t="s">
        <v>3623</v>
      </c>
      <c r="EJ5" s="3456" t="s">
        <v>3624</v>
      </c>
      <c r="EK5" s="3456" t="s">
        <v>3625</v>
      </c>
      <c r="EL5" s="3456" t="s">
        <v>3626</v>
      </c>
      <c r="EM5" s="3456" t="s">
        <v>3627</v>
      </c>
      <c r="EN5" s="3456" t="s">
        <v>3628</v>
      </c>
      <c r="EO5" s="3456" t="s">
        <v>3629</v>
      </c>
      <c r="EP5" s="3456" t="s">
        <v>3630</v>
      </c>
      <c r="EQ5" s="3456" t="s">
        <v>3631</v>
      </c>
      <c r="ER5" s="3456" t="s">
        <v>3632</v>
      </c>
      <c r="ES5" s="3456" t="s">
        <v>111</v>
      </c>
      <c r="ET5" s="3456" t="s">
        <v>1082</v>
      </c>
      <c r="EU5" s="3456" t="s">
        <v>1083</v>
      </c>
      <c r="EV5" s="3456" t="s">
        <v>1138</v>
      </c>
      <c r="EW5" s="3456" t="s">
        <v>1139</v>
      </c>
      <c r="EX5" s="3456" t="s">
        <v>126</v>
      </c>
      <c r="EY5" s="3456" t="s">
        <v>1140</v>
      </c>
      <c r="EZ5" s="3456" t="s">
        <v>1141</v>
      </c>
      <c r="FA5" s="3456" t="s">
        <v>1142</v>
      </c>
      <c r="FB5" s="3456" t="s">
        <v>1143</v>
      </c>
      <c r="FC5" s="3456" t="s">
        <v>3633</v>
      </c>
      <c r="FD5" s="3456" t="s">
        <v>3634</v>
      </c>
      <c r="FE5" s="3456" t="s">
        <v>3635</v>
      </c>
      <c r="FF5" s="3456" t="s">
        <v>3636</v>
      </c>
      <c r="FG5" s="3456" t="s">
        <v>3637</v>
      </c>
      <c r="FH5" s="3456" t="s">
        <v>125</v>
      </c>
      <c r="FI5" s="3456" t="s">
        <v>852</v>
      </c>
      <c r="FJ5" s="3456" t="s">
        <v>853</v>
      </c>
      <c r="FK5" s="3456" t="s">
        <v>854</v>
      </c>
      <c r="FL5" s="3456" t="s">
        <v>855</v>
      </c>
      <c r="FM5" s="3456" t="s">
        <v>3638</v>
      </c>
      <c r="FN5" s="3456" t="s">
        <v>3639</v>
      </c>
      <c r="FO5" s="3456" t="s">
        <v>3640</v>
      </c>
      <c r="FP5" s="3456" t="s">
        <v>3641</v>
      </c>
      <c r="FQ5" s="3456" t="s">
        <v>3642</v>
      </c>
      <c r="FR5" s="3456" t="s">
        <v>124</v>
      </c>
      <c r="FS5" s="3456" t="s">
        <v>856</v>
      </c>
      <c r="FT5" s="3456" t="s">
        <v>857</v>
      </c>
      <c r="FU5" s="3456" t="s">
        <v>858</v>
      </c>
      <c r="FV5" s="3456" t="s">
        <v>859</v>
      </c>
      <c r="FW5" s="3456" t="s">
        <v>751</v>
      </c>
      <c r="FX5" s="3456" t="s">
        <v>752</v>
      </c>
      <c r="FY5" s="3456" t="s">
        <v>753</v>
      </c>
      <c r="FZ5" s="3456" t="s">
        <v>754</v>
      </c>
      <c r="GA5" s="3456" t="s">
        <v>755</v>
      </c>
      <c r="GB5" s="3456" t="s">
        <v>895</v>
      </c>
      <c r="GC5" s="3456" t="s">
        <v>896</v>
      </c>
      <c r="GD5" s="3456" t="s">
        <v>897</v>
      </c>
      <c r="GE5" s="3456" t="s">
        <v>898</v>
      </c>
      <c r="GF5" s="3456" t="s">
        <v>2228</v>
      </c>
      <c r="GG5" s="3456" t="s">
        <v>1342</v>
      </c>
      <c r="GH5" s="3456" t="s">
        <v>1343</v>
      </c>
      <c r="GI5" s="3456" t="s">
        <v>1344</v>
      </c>
      <c r="GJ5" s="3456" t="s">
        <v>1345</v>
      </c>
      <c r="GK5" s="3456" t="s">
        <v>1346</v>
      </c>
      <c r="GL5" s="3456" t="s">
        <v>410</v>
      </c>
      <c r="GM5" s="3456" t="s">
        <v>411</v>
      </c>
      <c r="GN5" s="3456" t="s">
        <v>412</v>
      </c>
      <c r="GO5" s="3456" t="s">
        <v>413</v>
      </c>
      <c r="GP5" s="3456" t="s">
        <v>414</v>
      </c>
      <c r="GQ5" s="3456" t="s">
        <v>14</v>
      </c>
      <c r="GR5" s="3456" t="s">
        <v>15</v>
      </c>
      <c r="GS5" s="3456" t="s">
        <v>16</v>
      </c>
      <c r="GT5" s="3456" t="s">
        <v>17</v>
      </c>
      <c r="GU5" s="3456" t="s">
        <v>18</v>
      </c>
      <c r="GV5" s="3456" t="s">
        <v>214</v>
      </c>
      <c r="GW5" s="3456" t="s">
        <v>215</v>
      </c>
      <c r="GX5" s="3456" t="s">
        <v>216</v>
      </c>
      <c r="GY5" s="3456" t="s">
        <v>1675</v>
      </c>
      <c r="GZ5" s="3456" t="s">
        <v>1676</v>
      </c>
      <c r="HA5" s="3456" t="s">
        <v>1677</v>
      </c>
      <c r="HB5" s="3456" t="s">
        <v>549</v>
      </c>
      <c r="HC5" s="3456" t="s">
        <v>550</v>
      </c>
      <c r="HD5" s="3456" t="s">
        <v>551</v>
      </c>
      <c r="HE5" s="3456" t="s">
        <v>552</v>
      </c>
      <c r="HF5" s="3456" t="s">
        <v>19</v>
      </c>
      <c r="HG5" s="3456" t="s">
        <v>20</v>
      </c>
      <c r="HH5" s="3456" t="s">
        <v>21</v>
      </c>
      <c r="HI5" s="3456" t="s">
        <v>22</v>
      </c>
      <c r="HJ5" s="3456" t="s">
        <v>23</v>
      </c>
      <c r="HK5" s="3456" t="s">
        <v>464</v>
      </c>
      <c r="HL5" s="3456" t="s">
        <v>406</v>
      </c>
      <c r="HM5" s="3456" t="s">
        <v>407</v>
      </c>
      <c r="HN5" s="3456" t="s">
        <v>408</v>
      </c>
      <c r="HO5" s="3456" t="s">
        <v>409</v>
      </c>
      <c r="HP5" s="3456" t="s">
        <v>2037</v>
      </c>
      <c r="HQ5" s="3456" t="s">
        <v>2038</v>
      </c>
      <c r="HR5" s="3456" t="s">
        <v>2039</v>
      </c>
      <c r="HS5" s="3456" t="s">
        <v>1383</v>
      </c>
      <c r="HT5" s="3456" t="s">
        <v>1384</v>
      </c>
      <c r="HU5" s="3456" t="s">
        <v>24</v>
      </c>
      <c r="HV5" s="3456" t="s">
        <v>25</v>
      </c>
      <c r="HW5" s="3456" t="s">
        <v>26</v>
      </c>
      <c r="HX5" s="3456" t="s">
        <v>27</v>
      </c>
      <c r="HY5" s="3456"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4"/>
      <c r="KJ5" s="1804"/>
      <c r="KK5" s="1804"/>
      <c r="KL5" s="1804"/>
      <c r="KM5" s="1418"/>
      <c r="KN5" s="1418"/>
      <c r="KO5" s="1418"/>
      <c r="KP5" s="1418"/>
      <c r="KQ5" s="1418"/>
      <c r="KR5" s="1418"/>
      <c r="KS5" s="1418"/>
      <c r="KT5" s="1418"/>
      <c r="KU5" s="1418"/>
      <c r="KV5" s="1418"/>
      <c r="KW5" s="1418"/>
      <c r="KX5" s="1418"/>
      <c r="KY5" s="1418"/>
      <c r="KZ5" s="1418"/>
      <c r="LA5" s="1418"/>
      <c r="LB5" s="1418"/>
      <c r="LC5" s="1418"/>
      <c r="LD5" s="1418"/>
      <c r="LE5" s="1418"/>
      <c r="LF5" s="1418"/>
      <c r="LG5" s="3462" t="s">
        <v>1516</v>
      </c>
      <c r="LH5" s="3462" t="s">
        <v>2315</v>
      </c>
      <c r="LI5" s="3462" t="s">
        <v>2316</v>
      </c>
      <c r="LJ5" s="3462" t="s">
        <v>363</v>
      </c>
      <c r="LK5" s="3462" t="s">
        <v>364</v>
      </c>
      <c r="LL5" s="3462" t="s">
        <v>365</v>
      </c>
      <c r="LM5" s="3462" t="s">
        <v>366</v>
      </c>
      <c r="LN5" s="3462" t="s">
        <v>367</v>
      </c>
      <c r="LO5" s="3462" t="s">
        <v>368</v>
      </c>
      <c r="LP5" s="3462" t="s">
        <v>369</v>
      </c>
      <c r="LQ5" s="3462" t="s">
        <v>195</v>
      </c>
      <c r="LR5" s="3462" t="s">
        <v>196</v>
      </c>
      <c r="LS5" s="3462" t="s">
        <v>197</v>
      </c>
      <c r="LT5" s="3462" t="s">
        <v>198</v>
      </c>
      <c r="LU5" s="3462" t="s">
        <v>199</v>
      </c>
      <c r="LV5" s="3462" t="s">
        <v>200</v>
      </c>
      <c r="LW5" s="3462" t="s">
        <v>201</v>
      </c>
      <c r="LX5" s="3462" t="s">
        <v>202</v>
      </c>
      <c r="LY5" s="3462" t="s">
        <v>203</v>
      </c>
      <c r="LZ5" s="3462" t="s">
        <v>204</v>
      </c>
      <c r="MA5" s="3462" t="s">
        <v>205</v>
      </c>
      <c r="MB5" s="3462" t="s">
        <v>206</v>
      </c>
      <c r="MC5" s="3462" t="s">
        <v>207</v>
      </c>
      <c r="MD5" s="3462" t="s">
        <v>208</v>
      </c>
      <c r="ME5" s="3462" t="s">
        <v>209</v>
      </c>
      <c r="MF5" s="3462"/>
      <c r="MG5" s="3462"/>
      <c r="MH5" s="3462"/>
      <c r="MI5" s="3462"/>
      <c r="MJ5" s="3462"/>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1"/>
      <c r="NQ5" s="2480">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6" t="str">
        <f>IF(A49&gt;0,"Finish Row!","")</f>
        <v>Finish Row!</v>
      </c>
      <c r="B6" s="141" t="s">
        <v>3997</v>
      </c>
      <c r="D6" s="1430"/>
      <c r="E6" s="1430"/>
      <c r="F6" s="1430"/>
      <c r="G6" s="1152" t="s">
        <v>194</v>
      </c>
      <c r="H6" s="3527" t="s">
        <v>3999</v>
      </c>
      <c r="I6" s="3528"/>
      <c r="J6" s="3528"/>
      <c r="K6" s="674" t="s">
        <v>3051</v>
      </c>
      <c r="L6" s="3529" t="str">
        <f>'Part I-Project Identification'!$A$6</f>
        <v>2024 May 7</v>
      </c>
      <c r="M6" s="3529"/>
      <c r="N6" s="3529"/>
      <c r="O6" s="1628" t="s">
        <v>3979</v>
      </c>
      <c r="P6" s="1420">
        <v>106600</v>
      </c>
      <c r="Q6" s="3524"/>
      <c r="R6" s="817"/>
      <c r="S6" s="72"/>
      <c r="U6" s="72"/>
      <c r="X6" s="3456"/>
      <c r="Y6" s="3456"/>
      <c r="Z6" s="3456"/>
      <c r="AA6" s="3456"/>
      <c r="AB6" s="3456"/>
      <c r="AC6" s="3456"/>
      <c r="AD6" s="3456"/>
      <c r="AE6" s="3456"/>
      <c r="AF6" s="3456"/>
      <c r="AG6" s="3456"/>
      <c r="AH6" s="3456"/>
      <c r="AI6" s="3456"/>
      <c r="AJ6" s="3456"/>
      <c r="AK6" s="3456"/>
      <c r="AL6" s="3456"/>
      <c r="AM6" s="3456"/>
      <c r="AN6" s="3456"/>
      <c r="AO6" s="3456"/>
      <c r="AP6" s="3456"/>
      <c r="AQ6" s="3456"/>
      <c r="AR6" s="3456"/>
      <c r="AS6" s="3456"/>
      <c r="AT6" s="3456"/>
      <c r="AU6" s="3456"/>
      <c r="AV6" s="3456"/>
      <c r="AW6" s="3456"/>
      <c r="AX6" s="3456"/>
      <c r="AY6" s="3456"/>
      <c r="AZ6" s="3456"/>
      <c r="BA6" s="3456"/>
      <c r="BB6" s="3456"/>
      <c r="BC6" s="3456"/>
      <c r="BD6" s="3456"/>
      <c r="BE6" s="3456"/>
      <c r="BF6" s="3456"/>
      <c r="BG6" s="3456"/>
      <c r="BH6" s="3456"/>
      <c r="BI6" s="3456"/>
      <c r="BJ6" s="3456"/>
      <c r="BK6" s="3456"/>
      <c r="BL6" s="3456"/>
      <c r="BM6" s="3456"/>
      <c r="BN6" s="3456"/>
      <c r="BO6" s="3456"/>
      <c r="BP6" s="3456"/>
      <c r="BQ6" s="3456"/>
      <c r="BR6" s="3456"/>
      <c r="BS6" s="3456"/>
      <c r="BT6" s="3456"/>
      <c r="BU6" s="3456"/>
      <c r="BV6" s="3456"/>
      <c r="BW6" s="3456"/>
      <c r="BX6" s="3456"/>
      <c r="BY6" s="3456"/>
      <c r="BZ6" s="3456"/>
      <c r="CA6" s="3456"/>
      <c r="CB6" s="3456"/>
      <c r="CC6" s="3456"/>
      <c r="CD6" s="3456"/>
      <c r="CE6" s="3456"/>
      <c r="CF6" s="3456"/>
      <c r="CG6" s="3456"/>
      <c r="CH6" s="3456"/>
      <c r="CI6" s="3456"/>
      <c r="CJ6" s="3456"/>
      <c r="CK6" s="3456"/>
      <c r="CL6" s="3456"/>
      <c r="CM6" s="3456"/>
      <c r="CN6" s="3456"/>
      <c r="CO6" s="3456"/>
      <c r="CP6" s="3456"/>
      <c r="CQ6" s="3456"/>
      <c r="CR6" s="3456"/>
      <c r="CS6" s="3456"/>
      <c r="CT6" s="3456"/>
      <c r="CU6" s="3456"/>
      <c r="CV6" s="3456"/>
      <c r="CW6" s="3456"/>
      <c r="CX6" s="3456"/>
      <c r="CY6" s="3456"/>
      <c r="CZ6" s="3456"/>
      <c r="DA6" s="3456"/>
      <c r="DB6" s="3456"/>
      <c r="DC6" s="3456"/>
      <c r="DD6" s="3456"/>
      <c r="DE6" s="3456"/>
      <c r="DF6" s="3456"/>
      <c r="DG6" s="3456"/>
      <c r="DH6" s="3456"/>
      <c r="DI6" s="3456"/>
      <c r="DJ6" s="3456"/>
      <c r="DK6" s="3456"/>
      <c r="DL6" s="3456"/>
      <c r="DM6" s="3456"/>
      <c r="DN6" s="3456"/>
      <c r="DO6" s="3456"/>
      <c r="DP6" s="3456"/>
      <c r="DQ6" s="3456"/>
      <c r="DR6" s="3456"/>
      <c r="DS6" s="3456"/>
      <c r="DT6" s="3456"/>
      <c r="DU6" s="3456"/>
      <c r="DV6" s="3456"/>
      <c r="DW6" s="3456"/>
      <c r="DX6" s="3456"/>
      <c r="DY6" s="3456"/>
      <c r="DZ6" s="3456"/>
      <c r="EA6" s="3456"/>
      <c r="EB6" s="3456"/>
      <c r="EC6" s="3456"/>
      <c r="ED6" s="3456"/>
      <c r="EE6" s="3456"/>
      <c r="EF6" s="3456"/>
      <c r="EG6" s="3456"/>
      <c r="EH6" s="3456"/>
      <c r="EI6" s="3456"/>
      <c r="EJ6" s="3456"/>
      <c r="EK6" s="3456"/>
      <c r="EL6" s="3456"/>
      <c r="EM6" s="3456"/>
      <c r="EN6" s="3456"/>
      <c r="EO6" s="3456"/>
      <c r="EP6" s="3456"/>
      <c r="EQ6" s="3456"/>
      <c r="ER6" s="3456"/>
      <c r="ES6" s="3456"/>
      <c r="ET6" s="3456"/>
      <c r="EU6" s="3456"/>
      <c r="EV6" s="3456"/>
      <c r="EW6" s="3456"/>
      <c r="EX6" s="3456"/>
      <c r="EY6" s="3456"/>
      <c r="EZ6" s="3456"/>
      <c r="FA6" s="3456"/>
      <c r="FB6" s="3456"/>
      <c r="FC6" s="3456"/>
      <c r="FD6" s="3456"/>
      <c r="FE6" s="3456"/>
      <c r="FF6" s="3456"/>
      <c r="FG6" s="3456"/>
      <c r="FH6" s="3456"/>
      <c r="FI6" s="3456"/>
      <c r="FJ6" s="3456"/>
      <c r="FK6" s="3456"/>
      <c r="FL6" s="3456"/>
      <c r="FM6" s="3456"/>
      <c r="FN6" s="3456"/>
      <c r="FO6" s="3456"/>
      <c r="FP6" s="3456"/>
      <c r="FQ6" s="3456"/>
      <c r="FR6" s="3456"/>
      <c r="FS6" s="3456"/>
      <c r="FT6" s="3456"/>
      <c r="FU6" s="3456"/>
      <c r="FV6" s="3456"/>
      <c r="FW6" s="3456"/>
      <c r="FX6" s="3456"/>
      <c r="FY6" s="3456"/>
      <c r="FZ6" s="3456"/>
      <c r="GA6" s="3456"/>
      <c r="GB6" s="3456"/>
      <c r="GC6" s="3456"/>
      <c r="GD6" s="3456"/>
      <c r="GE6" s="3456"/>
      <c r="GF6" s="3456"/>
      <c r="GG6" s="3456"/>
      <c r="GH6" s="3456"/>
      <c r="GI6" s="3456"/>
      <c r="GJ6" s="3456"/>
      <c r="GK6" s="3456"/>
      <c r="GL6" s="3456"/>
      <c r="GM6" s="3456"/>
      <c r="GN6" s="3456"/>
      <c r="GO6" s="3456"/>
      <c r="GP6" s="3456"/>
      <c r="GQ6" s="3456"/>
      <c r="GR6" s="3456"/>
      <c r="GS6" s="3456"/>
      <c r="GT6" s="3456"/>
      <c r="GU6" s="3456"/>
      <c r="GV6" s="3456"/>
      <c r="GW6" s="3456"/>
      <c r="GX6" s="3456"/>
      <c r="GY6" s="3456"/>
      <c r="GZ6" s="3456"/>
      <c r="HA6" s="3456"/>
      <c r="HB6" s="3456"/>
      <c r="HC6" s="3456"/>
      <c r="HD6" s="3456"/>
      <c r="HE6" s="3456"/>
      <c r="HF6" s="3456"/>
      <c r="HG6" s="3456"/>
      <c r="HH6" s="3456"/>
      <c r="HI6" s="3456"/>
      <c r="HJ6" s="3456"/>
      <c r="HK6" s="3456"/>
      <c r="HL6" s="3456"/>
      <c r="HM6" s="3456"/>
      <c r="HN6" s="3456"/>
      <c r="HO6" s="3456"/>
      <c r="HP6" s="3456"/>
      <c r="HQ6" s="3456"/>
      <c r="HR6" s="3456"/>
      <c r="HS6" s="3456"/>
      <c r="HT6" s="3456"/>
      <c r="HU6" s="3456"/>
      <c r="HV6" s="3456"/>
      <c r="HW6" s="3456"/>
      <c r="HX6" s="3456"/>
      <c r="HY6" s="3456"/>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4"/>
      <c r="KJ6" s="1804"/>
      <c r="KK6" s="1804"/>
      <c r="KL6" s="1804"/>
      <c r="KM6" s="1418"/>
      <c r="KN6" s="1418"/>
      <c r="KO6" s="1418"/>
      <c r="KP6" s="1418"/>
      <c r="KQ6" s="1418"/>
      <c r="KR6" s="1418"/>
      <c r="KS6" s="1418"/>
      <c r="KT6" s="1418"/>
      <c r="KU6" s="1418"/>
      <c r="KV6" s="1418"/>
      <c r="KW6" s="1418"/>
      <c r="KX6" s="1418"/>
      <c r="KY6" s="1418"/>
      <c r="KZ6" s="1418"/>
      <c r="LA6" s="1418"/>
      <c r="LB6" s="1418"/>
      <c r="LC6" s="1418"/>
      <c r="LD6" s="1418"/>
      <c r="LE6" s="1418"/>
      <c r="LF6" s="1418"/>
      <c r="LG6" s="3462"/>
      <c r="LH6" s="3462"/>
      <c r="LI6" s="3462"/>
      <c r="LJ6" s="3462"/>
      <c r="LK6" s="3462"/>
      <c r="LL6" s="3462"/>
      <c r="LM6" s="3462"/>
      <c r="LN6" s="3462"/>
      <c r="LO6" s="3462"/>
      <c r="LP6" s="3462"/>
      <c r="LQ6" s="3462"/>
      <c r="LR6" s="3462"/>
      <c r="LS6" s="3462"/>
      <c r="LT6" s="3462"/>
      <c r="LU6" s="3462"/>
      <c r="LV6" s="3462"/>
      <c r="LW6" s="3462"/>
      <c r="LX6" s="3462"/>
      <c r="LY6" s="3462"/>
      <c r="LZ6" s="3462"/>
      <c r="MA6" s="3462"/>
      <c r="MB6" s="3462"/>
      <c r="MC6" s="3462"/>
      <c r="MD6" s="3462"/>
      <c r="ME6" s="3462"/>
      <c r="MF6" s="3462"/>
      <c r="MG6" s="3462"/>
      <c r="MH6" s="3462"/>
      <c r="MI6" s="3462"/>
      <c r="MJ6" s="3462"/>
      <c r="MK6" s="3463" t="s">
        <v>2957</v>
      </c>
      <c r="ML6" s="3463" t="s">
        <v>2958</v>
      </c>
      <c r="MM6" s="3463" t="s">
        <v>2959</v>
      </c>
      <c r="MN6" s="3463" t="s">
        <v>2960</v>
      </c>
      <c r="MO6" s="3463" t="s">
        <v>2961</v>
      </c>
      <c r="MP6" s="3462" t="s">
        <v>4179</v>
      </c>
      <c r="MQ6" s="3462" t="s">
        <v>4180</v>
      </c>
      <c r="MR6" s="3462" t="s">
        <v>4181</v>
      </c>
      <c r="MS6" s="3462" t="s">
        <v>4182</v>
      </c>
      <c r="MT6" s="3462" t="s">
        <v>4183</v>
      </c>
      <c r="MU6" s="72"/>
      <c r="MV6" s="72"/>
      <c r="MW6" s="72"/>
      <c r="MX6" s="72"/>
      <c r="MY6" s="72"/>
      <c r="MZ6" s="72"/>
      <c r="NA6" s="72"/>
      <c r="NB6" s="72"/>
      <c r="NC6" s="72"/>
      <c r="ND6" s="72"/>
      <c r="NE6" s="72"/>
      <c r="NF6" s="72"/>
      <c r="NG6" s="72"/>
      <c r="NH6" s="72"/>
      <c r="NI6" s="72"/>
      <c r="NJ6" s="72"/>
      <c r="NK6" s="72"/>
      <c r="NL6" s="72"/>
      <c r="NM6" s="72"/>
      <c r="NN6" s="72"/>
      <c r="NO6" s="358"/>
      <c r="NP6" s="1631"/>
      <c r="NQ6" s="2480">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6"/>
      <c r="B7" s="23" t="s">
        <v>3998</v>
      </c>
      <c r="E7" s="4"/>
      <c r="G7" s="1187" t="s">
        <v>2644</v>
      </c>
      <c r="I7" s="3530" t="s">
        <v>3941</v>
      </c>
      <c r="J7" s="674" t="s">
        <v>741</v>
      </c>
      <c r="K7" s="674" t="s">
        <v>3098</v>
      </c>
      <c r="L7" s="3529"/>
      <c r="M7" s="3529"/>
      <c r="N7" s="3529"/>
      <c r="O7" s="1629" t="s">
        <v>3978</v>
      </c>
      <c r="P7" s="2905" t="s">
        <v>5149</v>
      </c>
      <c r="Q7" s="3524"/>
      <c r="R7" s="3532" t="s">
        <v>2450</v>
      </c>
      <c r="S7" s="3532"/>
      <c r="X7" s="3456"/>
      <c r="Y7" s="3456"/>
      <c r="Z7" s="3456"/>
      <c r="AA7" s="3456"/>
      <c r="AB7" s="3456"/>
      <c r="AC7" s="3456"/>
      <c r="AD7" s="3456"/>
      <c r="AE7" s="3456"/>
      <c r="AF7" s="3456"/>
      <c r="AG7" s="3456"/>
      <c r="AH7" s="3456"/>
      <c r="AI7" s="3456"/>
      <c r="AJ7" s="3456"/>
      <c r="AK7" s="3456"/>
      <c r="AL7" s="3456"/>
      <c r="AM7" s="3456"/>
      <c r="AN7" s="3456"/>
      <c r="AO7" s="3456"/>
      <c r="AP7" s="3456"/>
      <c r="AQ7" s="3456"/>
      <c r="AR7" s="3456"/>
      <c r="AS7" s="3456"/>
      <c r="AT7" s="3456"/>
      <c r="AU7" s="3456"/>
      <c r="AV7" s="3456"/>
      <c r="AW7" s="3456"/>
      <c r="AX7" s="3456"/>
      <c r="AY7" s="3456"/>
      <c r="AZ7" s="3456"/>
      <c r="BA7" s="3456"/>
      <c r="BB7" s="3456"/>
      <c r="BC7" s="3456"/>
      <c r="BD7" s="3456"/>
      <c r="BE7" s="3456"/>
      <c r="BF7" s="3456"/>
      <c r="BG7" s="3456"/>
      <c r="BH7" s="3456"/>
      <c r="BI7" s="3456"/>
      <c r="BJ7" s="3456"/>
      <c r="BK7" s="3456"/>
      <c r="BL7" s="3456"/>
      <c r="BM7" s="3456"/>
      <c r="BN7" s="3456"/>
      <c r="BO7" s="3456"/>
      <c r="BP7" s="3456"/>
      <c r="BQ7" s="3456"/>
      <c r="BR7" s="3456"/>
      <c r="BS7" s="3456"/>
      <c r="BT7" s="3456"/>
      <c r="BU7" s="3456"/>
      <c r="BV7" s="3456"/>
      <c r="BW7" s="3456"/>
      <c r="BX7" s="3456"/>
      <c r="BY7" s="3456"/>
      <c r="BZ7" s="3456"/>
      <c r="CA7" s="3456"/>
      <c r="CB7" s="3456"/>
      <c r="CC7" s="3456"/>
      <c r="CD7" s="3456"/>
      <c r="CE7" s="3456"/>
      <c r="CF7" s="3456"/>
      <c r="CG7" s="3456"/>
      <c r="CH7" s="3456"/>
      <c r="CI7" s="3456"/>
      <c r="CJ7" s="3456"/>
      <c r="CK7" s="3456"/>
      <c r="CL7" s="3456"/>
      <c r="CM7" s="3456"/>
      <c r="CN7" s="3456"/>
      <c r="CO7" s="3456"/>
      <c r="CP7" s="3456"/>
      <c r="CQ7" s="3456"/>
      <c r="CR7" s="3456"/>
      <c r="CS7" s="3456"/>
      <c r="CT7" s="3456"/>
      <c r="CU7" s="3456"/>
      <c r="CV7" s="3456"/>
      <c r="CW7" s="3456"/>
      <c r="CX7" s="3456"/>
      <c r="CY7" s="3456"/>
      <c r="CZ7" s="3456"/>
      <c r="DA7" s="3456"/>
      <c r="DB7" s="3456"/>
      <c r="DC7" s="3456"/>
      <c r="DD7" s="3456"/>
      <c r="DE7" s="3456"/>
      <c r="DF7" s="3456"/>
      <c r="DG7" s="3456"/>
      <c r="DH7" s="3456"/>
      <c r="DI7" s="3456"/>
      <c r="DJ7" s="3456"/>
      <c r="DK7" s="3456"/>
      <c r="DL7" s="3456"/>
      <c r="DM7" s="3456"/>
      <c r="DN7" s="3456"/>
      <c r="DO7" s="3456"/>
      <c r="DP7" s="3456"/>
      <c r="DQ7" s="3456"/>
      <c r="DR7" s="3456"/>
      <c r="DS7" s="3456"/>
      <c r="DT7" s="3456"/>
      <c r="DU7" s="3456"/>
      <c r="DV7" s="3456"/>
      <c r="DW7" s="3456"/>
      <c r="DX7" s="3456"/>
      <c r="DY7" s="3456"/>
      <c r="DZ7" s="3456"/>
      <c r="EA7" s="3456"/>
      <c r="EB7" s="3456"/>
      <c r="EC7" s="3456"/>
      <c r="ED7" s="3456"/>
      <c r="EE7" s="3456"/>
      <c r="EF7" s="3456"/>
      <c r="EG7" s="3456"/>
      <c r="EH7" s="3456"/>
      <c r="EI7" s="3456"/>
      <c r="EJ7" s="3456"/>
      <c r="EK7" s="3456"/>
      <c r="EL7" s="3456"/>
      <c r="EM7" s="3456"/>
      <c r="EN7" s="3456"/>
      <c r="EO7" s="3456"/>
      <c r="EP7" s="3456"/>
      <c r="EQ7" s="3456"/>
      <c r="ER7" s="3456"/>
      <c r="ES7" s="3456"/>
      <c r="ET7" s="3456"/>
      <c r="EU7" s="3456"/>
      <c r="EV7" s="3456"/>
      <c r="EW7" s="3456"/>
      <c r="EX7" s="3456"/>
      <c r="EY7" s="3456"/>
      <c r="EZ7" s="3456"/>
      <c r="FA7" s="3456"/>
      <c r="FB7" s="3456"/>
      <c r="FC7" s="3456"/>
      <c r="FD7" s="3456"/>
      <c r="FE7" s="3456"/>
      <c r="FF7" s="3456"/>
      <c r="FG7" s="3456"/>
      <c r="FH7" s="3456"/>
      <c r="FI7" s="3456"/>
      <c r="FJ7" s="3456"/>
      <c r="FK7" s="3456"/>
      <c r="FL7" s="3456"/>
      <c r="FM7" s="3456"/>
      <c r="FN7" s="3456"/>
      <c r="FO7" s="3456"/>
      <c r="FP7" s="3456"/>
      <c r="FQ7" s="3456"/>
      <c r="FR7" s="3456"/>
      <c r="FS7" s="3456"/>
      <c r="FT7" s="3456"/>
      <c r="FU7" s="3456"/>
      <c r="FV7" s="3456"/>
      <c r="FW7" s="3456"/>
      <c r="FX7" s="3456"/>
      <c r="FY7" s="3456"/>
      <c r="FZ7" s="3456"/>
      <c r="GA7" s="3456"/>
      <c r="GB7" s="3456"/>
      <c r="GC7" s="3456"/>
      <c r="GD7" s="3456"/>
      <c r="GE7" s="3456"/>
      <c r="GF7" s="3456"/>
      <c r="GG7" s="3456"/>
      <c r="GH7" s="3456"/>
      <c r="GI7" s="3456"/>
      <c r="GJ7" s="3456"/>
      <c r="GK7" s="3456"/>
      <c r="GL7" s="3456"/>
      <c r="GM7" s="3456"/>
      <c r="GN7" s="3456"/>
      <c r="GO7" s="3456"/>
      <c r="GP7" s="3456"/>
      <c r="GQ7" s="3456"/>
      <c r="GR7" s="3456"/>
      <c r="GS7" s="3456"/>
      <c r="GT7" s="3456"/>
      <c r="GU7" s="3456"/>
      <c r="GV7" s="3456"/>
      <c r="GW7" s="3456"/>
      <c r="GX7" s="3456"/>
      <c r="GY7" s="3456"/>
      <c r="GZ7" s="3456"/>
      <c r="HA7" s="3456"/>
      <c r="HB7" s="3456"/>
      <c r="HC7" s="3456"/>
      <c r="HD7" s="3456"/>
      <c r="HE7" s="3456"/>
      <c r="HF7" s="3456"/>
      <c r="HG7" s="3456"/>
      <c r="HH7" s="3456"/>
      <c r="HI7" s="3456"/>
      <c r="HJ7" s="3456"/>
      <c r="HK7" s="3456"/>
      <c r="HL7" s="3456"/>
      <c r="HM7" s="3456"/>
      <c r="HN7" s="3456"/>
      <c r="HO7" s="3456"/>
      <c r="HP7" s="3456"/>
      <c r="HQ7" s="3456"/>
      <c r="HR7" s="3456"/>
      <c r="HS7" s="3456"/>
      <c r="HT7" s="3456"/>
      <c r="HU7" s="3456"/>
      <c r="HV7" s="3456"/>
      <c r="HW7" s="3456"/>
      <c r="HX7" s="3456"/>
      <c r="HY7" s="3456"/>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4"/>
      <c r="KJ7" s="1804"/>
      <c r="KK7" s="1804"/>
      <c r="KL7" s="1804"/>
      <c r="KM7" s="1418"/>
      <c r="KN7" s="1418"/>
      <c r="KO7" s="1418"/>
      <c r="KP7" s="1418"/>
      <c r="KQ7" s="1418"/>
      <c r="KR7" s="1418"/>
      <c r="KS7" s="1418"/>
      <c r="KT7" s="1418"/>
      <c r="KU7" s="1418"/>
      <c r="KV7" s="1418"/>
      <c r="KW7" s="1418"/>
      <c r="KX7" s="1418"/>
      <c r="KY7" s="1418"/>
      <c r="KZ7" s="1418"/>
      <c r="LA7" s="1418"/>
      <c r="LB7" s="1418"/>
      <c r="LC7" s="1418"/>
      <c r="LD7" s="1418"/>
      <c r="LE7" s="1418"/>
      <c r="LF7" s="1418"/>
      <c r="LG7" s="3462"/>
      <c r="LH7" s="3462"/>
      <c r="LI7" s="3462"/>
      <c r="LJ7" s="3462"/>
      <c r="LK7" s="3462"/>
      <c r="LL7" s="3462"/>
      <c r="LM7" s="3462"/>
      <c r="LN7" s="3462"/>
      <c r="LO7" s="3462"/>
      <c r="LP7" s="3462"/>
      <c r="LQ7" s="3462"/>
      <c r="LR7" s="3462"/>
      <c r="LS7" s="3462"/>
      <c r="LT7" s="3462"/>
      <c r="LU7" s="3462"/>
      <c r="LV7" s="3462"/>
      <c r="LW7" s="3462"/>
      <c r="LX7" s="3462"/>
      <c r="LY7" s="3462"/>
      <c r="LZ7" s="3462"/>
      <c r="MA7" s="3462"/>
      <c r="MB7" s="3462"/>
      <c r="MC7" s="3462"/>
      <c r="MD7" s="3462"/>
      <c r="ME7" s="3462"/>
      <c r="MF7" s="3462"/>
      <c r="MG7" s="3462"/>
      <c r="MH7" s="3462"/>
      <c r="MI7" s="3462"/>
      <c r="MJ7" s="3462"/>
      <c r="MK7" s="3463"/>
      <c r="ML7" s="3463"/>
      <c r="MM7" s="3463"/>
      <c r="MN7" s="3463"/>
      <c r="MO7" s="3463"/>
      <c r="MP7" s="3462"/>
      <c r="MQ7" s="3462"/>
      <c r="MR7" s="3462"/>
      <c r="MS7" s="3462"/>
      <c r="MT7" s="3462"/>
      <c r="MU7" s="72"/>
      <c r="MV7" s="72"/>
      <c r="MW7" s="72"/>
      <c r="MX7" s="72"/>
      <c r="MY7" s="72"/>
      <c r="MZ7" s="72"/>
      <c r="NA7" s="72"/>
      <c r="NB7" s="72"/>
      <c r="NC7" s="72"/>
      <c r="ND7" s="72"/>
      <c r="NE7" s="72"/>
      <c r="NF7" s="72"/>
      <c r="NG7" s="72"/>
      <c r="NH7" s="72"/>
      <c r="NI7" s="72"/>
      <c r="NJ7" s="72"/>
      <c r="NK7" s="72"/>
      <c r="NL7" s="72"/>
      <c r="NM7" s="72"/>
      <c r="NN7" s="72"/>
      <c r="NO7" s="358"/>
      <c r="NP7" s="1631"/>
      <c r="NQ7" s="2480">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6"/>
      <c r="B8" s="818" t="s">
        <v>3645</v>
      </c>
      <c r="C8" s="1"/>
      <c r="E8" s="1"/>
      <c r="F8" s="1"/>
      <c r="I8" s="3530"/>
      <c r="J8" s="674" t="s">
        <v>742</v>
      </c>
      <c r="K8" s="674" t="s">
        <v>3099</v>
      </c>
      <c r="L8" s="655"/>
      <c r="M8" s="655"/>
      <c r="N8" s="1627" t="s">
        <v>4378</v>
      </c>
      <c r="O8" s="3533" t="s">
        <v>5150</v>
      </c>
      <c r="P8" s="3534"/>
      <c r="Q8" s="3524"/>
      <c r="R8" s="656"/>
      <c r="S8" s="658" t="s">
        <v>2447</v>
      </c>
      <c r="T8" s="336"/>
      <c r="W8" s="337"/>
      <c r="X8" s="3456"/>
      <c r="Y8" s="3456"/>
      <c r="Z8" s="3456"/>
      <c r="AA8" s="3456"/>
      <c r="AB8" s="3456"/>
      <c r="AC8" s="3456"/>
      <c r="AD8" s="3456"/>
      <c r="AE8" s="3456"/>
      <c r="AF8" s="3456"/>
      <c r="AG8" s="3456"/>
      <c r="AH8" s="3456"/>
      <c r="AI8" s="3456"/>
      <c r="AJ8" s="3456"/>
      <c r="AK8" s="3456"/>
      <c r="AL8" s="3456"/>
      <c r="AM8" s="3456"/>
      <c r="AN8" s="3456"/>
      <c r="AO8" s="3456"/>
      <c r="AP8" s="3456"/>
      <c r="AQ8" s="3456"/>
      <c r="AR8" s="3456"/>
      <c r="AS8" s="3456"/>
      <c r="AT8" s="3456"/>
      <c r="AU8" s="3456"/>
      <c r="AV8" s="3456"/>
      <c r="AW8" s="3456"/>
      <c r="AX8" s="3456"/>
      <c r="AY8" s="3456"/>
      <c r="AZ8" s="3456"/>
      <c r="BA8" s="3456"/>
      <c r="BB8" s="3456"/>
      <c r="BC8" s="3456"/>
      <c r="BD8" s="3456"/>
      <c r="BE8" s="3456"/>
      <c r="BF8" s="3456"/>
      <c r="BG8" s="3456"/>
      <c r="BH8" s="3456"/>
      <c r="BI8" s="3456"/>
      <c r="BJ8" s="3456"/>
      <c r="BK8" s="3456"/>
      <c r="BL8" s="3456"/>
      <c r="BM8" s="3456"/>
      <c r="BN8" s="3456"/>
      <c r="BO8" s="3456"/>
      <c r="BP8" s="3456"/>
      <c r="BQ8" s="3456"/>
      <c r="BR8" s="3456"/>
      <c r="BS8" s="3456"/>
      <c r="BT8" s="3456"/>
      <c r="BU8" s="3456"/>
      <c r="BV8" s="3456"/>
      <c r="BW8" s="3456"/>
      <c r="BX8" s="3456"/>
      <c r="BY8" s="3456"/>
      <c r="BZ8" s="3456"/>
      <c r="CA8" s="3456"/>
      <c r="CB8" s="3456"/>
      <c r="CC8" s="3456"/>
      <c r="CD8" s="3456"/>
      <c r="CE8" s="3456"/>
      <c r="CF8" s="3456"/>
      <c r="CG8" s="3456"/>
      <c r="CH8" s="3456"/>
      <c r="CI8" s="3456"/>
      <c r="CJ8" s="3456"/>
      <c r="CK8" s="3456"/>
      <c r="CL8" s="3456"/>
      <c r="CM8" s="3456"/>
      <c r="CN8" s="3456"/>
      <c r="CO8" s="3456"/>
      <c r="CP8" s="3456"/>
      <c r="CQ8" s="3456"/>
      <c r="CR8" s="3456"/>
      <c r="CS8" s="3456"/>
      <c r="CT8" s="3456"/>
      <c r="CU8" s="3456"/>
      <c r="CV8" s="3456"/>
      <c r="CW8" s="3456"/>
      <c r="CX8" s="3456"/>
      <c r="CY8" s="3456"/>
      <c r="CZ8" s="3456"/>
      <c r="DA8" s="3456"/>
      <c r="DB8" s="3456"/>
      <c r="DC8" s="3456"/>
      <c r="DD8" s="3456"/>
      <c r="DE8" s="3456"/>
      <c r="DF8" s="3456"/>
      <c r="DG8" s="3456"/>
      <c r="DH8" s="3456"/>
      <c r="DI8" s="3456"/>
      <c r="DJ8" s="3456"/>
      <c r="DK8" s="3456"/>
      <c r="DL8" s="3456"/>
      <c r="DM8" s="3456"/>
      <c r="DN8" s="3456"/>
      <c r="DO8" s="3456"/>
      <c r="DP8" s="3456"/>
      <c r="DQ8" s="3456"/>
      <c r="DR8" s="3456"/>
      <c r="DS8" s="3456"/>
      <c r="DT8" s="3456"/>
      <c r="DU8" s="3456"/>
      <c r="DV8" s="3456"/>
      <c r="DW8" s="3456"/>
      <c r="DX8" s="3456"/>
      <c r="DY8" s="3456"/>
      <c r="DZ8" s="3456"/>
      <c r="EA8" s="3456"/>
      <c r="EB8" s="3456"/>
      <c r="EC8" s="3456"/>
      <c r="ED8" s="3456"/>
      <c r="EE8" s="3456"/>
      <c r="EF8" s="3456"/>
      <c r="EG8" s="3456"/>
      <c r="EH8" s="3456"/>
      <c r="EI8" s="3456"/>
      <c r="EJ8" s="3456"/>
      <c r="EK8" s="3456"/>
      <c r="EL8" s="3456"/>
      <c r="EM8" s="3456"/>
      <c r="EN8" s="3456"/>
      <c r="EO8" s="3456"/>
      <c r="EP8" s="3456"/>
      <c r="EQ8" s="3456"/>
      <c r="ER8" s="3456"/>
      <c r="ES8" s="3456"/>
      <c r="ET8" s="3456"/>
      <c r="EU8" s="3456"/>
      <c r="EV8" s="3456"/>
      <c r="EW8" s="3456"/>
      <c r="EX8" s="3456"/>
      <c r="EY8" s="3456"/>
      <c r="EZ8" s="3456"/>
      <c r="FA8" s="3456"/>
      <c r="FB8" s="3456"/>
      <c r="FC8" s="3456"/>
      <c r="FD8" s="3456"/>
      <c r="FE8" s="3456"/>
      <c r="FF8" s="3456"/>
      <c r="FG8" s="3456"/>
      <c r="FH8" s="3456"/>
      <c r="FI8" s="3456"/>
      <c r="FJ8" s="3456"/>
      <c r="FK8" s="3456"/>
      <c r="FL8" s="3456"/>
      <c r="FM8" s="3456"/>
      <c r="FN8" s="3456"/>
      <c r="FO8" s="3456"/>
      <c r="FP8" s="3456"/>
      <c r="FQ8" s="3456"/>
      <c r="FR8" s="3456"/>
      <c r="FS8" s="3456"/>
      <c r="FT8" s="3456"/>
      <c r="FU8" s="3456"/>
      <c r="FV8" s="3456"/>
      <c r="FW8" s="3456"/>
      <c r="FX8" s="3456"/>
      <c r="FY8" s="3456"/>
      <c r="FZ8" s="3456"/>
      <c r="GA8" s="3456"/>
      <c r="GB8" s="3456"/>
      <c r="GC8" s="3456"/>
      <c r="GD8" s="3456"/>
      <c r="GE8" s="3456"/>
      <c r="GF8" s="3456"/>
      <c r="GG8" s="3456"/>
      <c r="GH8" s="3456"/>
      <c r="GI8" s="3456"/>
      <c r="GJ8" s="3456"/>
      <c r="GK8" s="3456"/>
      <c r="GL8" s="3456"/>
      <c r="GM8" s="3456"/>
      <c r="GN8" s="3456"/>
      <c r="GO8" s="3456"/>
      <c r="GP8" s="3456"/>
      <c r="GQ8" s="3456"/>
      <c r="GR8" s="3456"/>
      <c r="GS8" s="3456"/>
      <c r="GT8" s="3456"/>
      <c r="GU8" s="3456"/>
      <c r="GV8" s="3456"/>
      <c r="GW8" s="3456"/>
      <c r="GX8" s="3456"/>
      <c r="GY8" s="3456"/>
      <c r="GZ8" s="3456"/>
      <c r="HA8" s="3456"/>
      <c r="HB8" s="3456"/>
      <c r="HC8" s="3456"/>
      <c r="HD8" s="3456"/>
      <c r="HE8" s="3456"/>
      <c r="HF8" s="3456"/>
      <c r="HG8" s="3456"/>
      <c r="HH8" s="3456"/>
      <c r="HI8" s="3456"/>
      <c r="HJ8" s="3456"/>
      <c r="HK8" s="3456"/>
      <c r="HL8" s="3456"/>
      <c r="HM8" s="3456"/>
      <c r="HN8" s="3456"/>
      <c r="HO8" s="3456"/>
      <c r="HP8" s="3456"/>
      <c r="HQ8" s="3456"/>
      <c r="HR8" s="3456"/>
      <c r="HS8" s="3456"/>
      <c r="HT8" s="3456"/>
      <c r="HU8" s="3456"/>
      <c r="HV8" s="3456"/>
      <c r="HW8" s="3456"/>
      <c r="HX8" s="3456"/>
      <c r="HY8" s="3456"/>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3" t="s">
        <v>2239</v>
      </c>
      <c r="KJ8" s="1793" t="s">
        <v>2240</v>
      </c>
      <c r="KK8" s="1793" t="s">
        <v>2241</v>
      </c>
      <c r="KL8" s="1793" t="s">
        <v>2242</v>
      </c>
      <c r="KM8" s="1793" t="s">
        <v>525</v>
      </c>
      <c r="KN8" s="1793" t="s">
        <v>2239</v>
      </c>
      <c r="KO8" s="1793" t="s">
        <v>2240</v>
      </c>
      <c r="KP8" s="1793" t="s">
        <v>2241</v>
      </c>
      <c r="KQ8" s="1793" t="s">
        <v>2242</v>
      </c>
      <c r="KR8" s="1793" t="s">
        <v>525</v>
      </c>
      <c r="KS8" s="1793" t="s">
        <v>2239</v>
      </c>
      <c r="KT8" s="1793" t="s">
        <v>2240</v>
      </c>
      <c r="KU8" s="1793" t="s">
        <v>2241</v>
      </c>
      <c r="KV8" s="1793" t="s">
        <v>2242</v>
      </c>
      <c r="KW8" s="1793" t="s">
        <v>525</v>
      </c>
      <c r="KX8" s="1793" t="s">
        <v>2239</v>
      </c>
      <c r="KY8" s="1793" t="s">
        <v>2240</v>
      </c>
      <c r="KZ8" s="1793" t="s">
        <v>2241</v>
      </c>
      <c r="LA8" s="1793" t="s">
        <v>2242</v>
      </c>
      <c r="LB8" s="1793" t="s">
        <v>525</v>
      </c>
      <c r="LC8" s="1793" t="s">
        <v>2239</v>
      </c>
      <c r="LD8" s="1793" t="s">
        <v>2240</v>
      </c>
      <c r="LE8" s="1793" t="s">
        <v>2241</v>
      </c>
      <c r="LF8" s="1793" t="s">
        <v>2242</v>
      </c>
      <c r="LG8" s="3462"/>
      <c r="LH8" s="3462"/>
      <c r="LI8" s="3462"/>
      <c r="LJ8" s="3462"/>
      <c r="LK8" s="3462"/>
      <c r="LL8" s="3462"/>
      <c r="LM8" s="3462"/>
      <c r="LN8" s="3462"/>
      <c r="LO8" s="3462"/>
      <c r="LP8" s="3462"/>
      <c r="LQ8" s="3462"/>
      <c r="LR8" s="3462"/>
      <c r="LS8" s="3462"/>
      <c r="LT8" s="3462"/>
      <c r="LU8" s="3462"/>
      <c r="LV8" s="3462"/>
      <c r="LW8" s="3462"/>
      <c r="LX8" s="3462"/>
      <c r="LY8" s="3462"/>
      <c r="LZ8" s="3462"/>
      <c r="MA8" s="3462"/>
      <c r="MB8" s="3462"/>
      <c r="MC8" s="3462"/>
      <c r="MD8" s="3462"/>
      <c r="ME8" s="3462"/>
      <c r="MF8" s="3462"/>
      <c r="MG8" s="3462"/>
      <c r="MH8" s="3462"/>
      <c r="MI8" s="3462"/>
      <c r="MJ8" s="3462"/>
      <c r="MK8" s="3463"/>
      <c r="ML8" s="3463"/>
      <c r="MM8" s="3463"/>
      <c r="MN8" s="3463"/>
      <c r="MO8" s="3463"/>
      <c r="MP8" s="3462"/>
      <c r="MQ8" s="3462"/>
      <c r="MR8" s="3462"/>
      <c r="MS8" s="3462"/>
      <c r="MT8" s="3462"/>
      <c r="MU8" s="72"/>
      <c r="MV8" s="72"/>
      <c r="MW8" s="72"/>
      <c r="MX8" s="72"/>
      <c r="MY8" s="72"/>
      <c r="MZ8" s="72"/>
      <c r="NA8" s="72"/>
      <c r="NB8" s="72"/>
      <c r="NC8" s="72"/>
      <c r="ND8" s="72"/>
      <c r="NE8" s="72"/>
      <c r="NF8" s="72"/>
      <c r="NG8" s="72"/>
      <c r="NH8" s="72"/>
      <c r="NI8" s="72"/>
      <c r="NJ8" s="72"/>
      <c r="NK8" s="72"/>
      <c r="NL8" s="72"/>
      <c r="NM8" s="72"/>
      <c r="NN8" s="72"/>
      <c r="NO8" s="358"/>
      <c r="NP8" s="1631"/>
      <c r="NQ8" s="2480">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6"/>
      <c r="B9" s="1050" t="s">
        <v>3646</v>
      </c>
      <c r="C9" s="674" t="s">
        <v>165</v>
      </c>
      <c r="D9" s="674" t="s">
        <v>509</v>
      </c>
      <c r="E9" s="674" t="s">
        <v>1380</v>
      </c>
      <c r="F9" s="674" t="s">
        <v>1380</v>
      </c>
      <c r="G9" s="3530" t="s">
        <v>3994</v>
      </c>
      <c r="H9" s="817" t="s">
        <v>3219</v>
      </c>
      <c r="I9" s="3530"/>
      <c r="J9" s="3535" t="s">
        <v>3988</v>
      </c>
      <c r="K9" s="674" t="s">
        <v>2211</v>
      </c>
      <c r="L9" s="3537" t="s">
        <v>139</v>
      </c>
      <c r="M9" s="3538"/>
      <c r="N9" s="674" t="s">
        <v>2178</v>
      </c>
      <c r="O9" s="674" t="s">
        <v>4381</v>
      </c>
      <c r="P9" s="3539" t="s">
        <v>4143</v>
      </c>
      <c r="Q9" s="3524"/>
      <c r="R9" s="674" t="s">
        <v>2446</v>
      </c>
      <c r="S9" s="674" t="s">
        <v>2448</v>
      </c>
      <c r="T9" s="338"/>
      <c r="W9" s="339"/>
      <c r="X9" s="3456"/>
      <c r="Y9" s="3456"/>
      <c r="Z9" s="3456"/>
      <c r="AA9" s="3456"/>
      <c r="AB9" s="3456"/>
      <c r="AC9" s="3456"/>
      <c r="AD9" s="3456"/>
      <c r="AE9" s="3456"/>
      <c r="AF9" s="3456"/>
      <c r="AG9" s="3456"/>
      <c r="AH9" s="3456"/>
      <c r="AI9" s="3456"/>
      <c r="AJ9" s="3456"/>
      <c r="AK9" s="3456"/>
      <c r="AL9" s="3456"/>
      <c r="AM9" s="3456"/>
      <c r="AN9" s="3456"/>
      <c r="AO9" s="3456"/>
      <c r="AP9" s="3456"/>
      <c r="AQ9" s="3456"/>
      <c r="AR9" s="3456"/>
      <c r="AS9" s="3456"/>
      <c r="AT9" s="3456"/>
      <c r="AU9" s="3456"/>
      <c r="AV9" s="3456"/>
      <c r="AW9" s="3456"/>
      <c r="AX9" s="3456"/>
      <c r="AY9" s="3456"/>
      <c r="AZ9" s="3456"/>
      <c r="BA9" s="3456"/>
      <c r="BB9" s="3456"/>
      <c r="BC9" s="3456"/>
      <c r="BD9" s="3456"/>
      <c r="BE9" s="3456"/>
      <c r="BF9" s="3456"/>
      <c r="BG9" s="3456"/>
      <c r="BH9" s="3456"/>
      <c r="BI9" s="3456"/>
      <c r="BJ9" s="3456"/>
      <c r="BK9" s="3456"/>
      <c r="BL9" s="3456"/>
      <c r="BM9" s="3456"/>
      <c r="BN9" s="3456"/>
      <c r="BO9" s="3456"/>
      <c r="BP9" s="3456"/>
      <c r="BQ9" s="3456"/>
      <c r="BR9" s="3456"/>
      <c r="BS9" s="3456"/>
      <c r="BT9" s="3456"/>
      <c r="BU9" s="3456"/>
      <c r="BV9" s="3456"/>
      <c r="BW9" s="3456"/>
      <c r="BX9" s="3456"/>
      <c r="BY9" s="3456"/>
      <c r="BZ9" s="3456"/>
      <c r="CA9" s="3456"/>
      <c r="CB9" s="3456"/>
      <c r="CC9" s="3456"/>
      <c r="CD9" s="3456"/>
      <c r="CE9" s="3456"/>
      <c r="CF9" s="3456"/>
      <c r="CG9" s="3456"/>
      <c r="CH9" s="3456"/>
      <c r="CI9" s="3456"/>
      <c r="CJ9" s="3456"/>
      <c r="CK9" s="3456"/>
      <c r="CL9" s="3456"/>
      <c r="CM9" s="3456"/>
      <c r="CN9" s="3456"/>
      <c r="CO9" s="3456"/>
      <c r="CP9" s="3456"/>
      <c r="CQ9" s="3456"/>
      <c r="CR9" s="3456"/>
      <c r="CS9" s="3456"/>
      <c r="CT9" s="3456"/>
      <c r="CU9" s="3456"/>
      <c r="CV9" s="3456"/>
      <c r="CW9" s="3456"/>
      <c r="CX9" s="3456"/>
      <c r="CY9" s="3456"/>
      <c r="CZ9" s="3456"/>
      <c r="DA9" s="3456"/>
      <c r="DB9" s="3456"/>
      <c r="DC9" s="3456"/>
      <c r="DD9" s="3456"/>
      <c r="DE9" s="3456"/>
      <c r="DF9" s="3456"/>
      <c r="DG9" s="3456"/>
      <c r="DH9" s="3456"/>
      <c r="DI9" s="3456"/>
      <c r="DJ9" s="3456"/>
      <c r="DK9" s="3456"/>
      <c r="DL9" s="3456"/>
      <c r="DM9" s="3456"/>
      <c r="DN9" s="3456"/>
      <c r="DO9" s="3456"/>
      <c r="DP9" s="3456"/>
      <c r="DQ9" s="3456"/>
      <c r="DR9" s="3456"/>
      <c r="DS9" s="3456"/>
      <c r="DT9" s="3456"/>
      <c r="DU9" s="3456"/>
      <c r="DV9" s="3456"/>
      <c r="DW9" s="3456"/>
      <c r="DX9" s="3456"/>
      <c r="DY9" s="3456"/>
      <c r="DZ9" s="3456"/>
      <c r="EA9" s="3456"/>
      <c r="EB9" s="3456"/>
      <c r="EC9" s="3456"/>
      <c r="ED9" s="3456"/>
      <c r="EE9" s="3456"/>
      <c r="EF9" s="3456"/>
      <c r="EG9" s="3456"/>
      <c r="EH9" s="3456"/>
      <c r="EI9" s="3456"/>
      <c r="EJ9" s="3456"/>
      <c r="EK9" s="3456"/>
      <c r="EL9" s="3456"/>
      <c r="EM9" s="3456"/>
      <c r="EN9" s="3456"/>
      <c r="EO9" s="3456"/>
      <c r="EP9" s="3456"/>
      <c r="EQ9" s="3456"/>
      <c r="ER9" s="3456"/>
      <c r="ES9" s="3456"/>
      <c r="ET9" s="3456"/>
      <c r="EU9" s="3456"/>
      <c r="EV9" s="3456"/>
      <c r="EW9" s="3456"/>
      <c r="EX9" s="3456"/>
      <c r="EY9" s="3456"/>
      <c r="EZ9" s="3456"/>
      <c r="FA9" s="3456"/>
      <c r="FB9" s="3456"/>
      <c r="FC9" s="3456"/>
      <c r="FD9" s="3456"/>
      <c r="FE9" s="3456"/>
      <c r="FF9" s="3456"/>
      <c r="FG9" s="3456"/>
      <c r="FH9" s="3456"/>
      <c r="FI9" s="3456"/>
      <c r="FJ9" s="3456"/>
      <c r="FK9" s="3456"/>
      <c r="FL9" s="3456"/>
      <c r="FM9" s="3456"/>
      <c r="FN9" s="3456"/>
      <c r="FO9" s="3456"/>
      <c r="FP9" s="3456"/>
      <c r="FQ9" s="3456"/>
      <c r="FR9" s="3456"/>
      <c r="FS9" s="3456"/>
      <c r="FT9" s="3456"/>
      <c r="FU9" s="3456"/>
      <c r="FV9" s="3456"/>
      <c r="FW9" s="3456"/>
      <c r="FX9" s="3456"/>
      <c r="FY9" s="3456"/>
      <c r="FZ9" s="3456"/>
      <c r="GA9" s="3456"/>
      <c r="GB9" s="3456"/>
      <c r="GC9" s="3456"/>
      <c r="GD9" s="3456"/>
      <c r="GE9" s="3456"/>
      <c r="GF9" s="3456"/>
      <c r="GG9" s="3456"/>
      <c r="GH9" s="3456"/>
      <c r="GI9" s="3456"/>
      <c r="GJ9" s="3456"/>
      <c r="GK9" s="3456"/>
      <c r="GL9" s="3456"/>
      <c r="GM9" s="3456"/>
      <c r="GN9" s="3456"/>
      <c r="GO9" s="3456"/>
      <c r="GP9" s="3456"/>
      <c r="GQ9" s="3456"/>
      <c r="GR9" s="3456"/>
      <c r="GS9" s="3456"/>
      <c r="GT9" s="3456"/>
      <c r="GU9" s="3456"/>
      <c r="GV9" s="3456"/>
      <c r="GW9" s="3456"/>
      <c r="GX9" s="3456"/>
      <c r="GY9" s="3456"/>
      <c r="GZ9" s="3456"/>
      <c r="HA9" s="3456"/>
      <c r="HB9" s="3456"/>
      <c r="HC9" s="3456"/>
      <c r="HD9" s="3456"/>
      <c r="HE9" s="3456"/>
      <c r="HF9" s="3456"/>
      <c r="HG9" s="3456"/>
      <c r="HH9" s="3456"/>
      <c r="HI9" s="3456"/>
      <c r="HJ9" s="3456"/>
      <c r="HK9" s="3456"/>
      <c r="HL9" s="3456"/>
      <c r="HM9" s="3456"/>
      <c r="HN9" s="3456"/>
      <c r="HO9" s="3456"/>
      <c r="HP9" s="3456"/>
      <c r="HQ9" s="3456"/>
      <c r="HR9" s="3456"/>
      <c r="HS9" s="3456"/>
      <c r="HT9" s="3456"/>
      <c r="HU9" s="3456"/>
      <c r="HV9" s="3456"/>
      <c r="HW9" s="3456"/>
      <c r="HX9" s="3456"/>
      <c r="HY9" s="3456"/>
      <c r="HZ9" s="3456" t="s">
        <v>1369</v>
      </c>
      <c r="IA9" s="869" t="s">
        <v>2239</v>
      </c>
      <c r="IB9" s="869" t="s">
        <v>2240</v>
      </c>
      <c r="IC9" s="869" t="s">
        <v>2241</v>
      </c>
      <c r="ID9" s="869" t="s">
        <v>2242</v>
      </c>
      <c r="IE9" s="3456" t="s">
        <v>2293</v>
      </c>
      <c r="IF9" s="3456" t="s">
        <v>2293</v>
      </c>
      <c r="IG9" s="3456" t="s">
        <v>2293</v>
      </c>
      <c r="IH9" s="3456" t="s">
        <v>2293</v>
      </c>
      <c r="II9" s="3456" t="s">
        <v>2293</v>
      </c>
      <c r="IJ9" s="3456" t="s">
        <v>2928</v>
      </c>
      <c r="IK9" s="3456" t="s">
        <v>2928</v>
      </c>
      <c r="IL9" s="3456" t="s">
        <v>2928</v>
      </c>
      <c r="IM9" s="3456" t="s">
        <v>2928</v>
      </c>
      <c r="IN9" s="3456" t="s">
        <v>2928</v>
      </c>
      <c r="IO9" s="869" t="s">
        <v>525</v>
      </c>
      <c r="IP9" s="869" t="s">
        <v>2239</v>
      </c>
      <c r="IQ9" s="869" t="s">
        <v>2240</v>
      </c>
      <c r="IR9" s="869" t="s">
        <v>2241</v>
      </c>
      <c r="IS9" s="869" t="s">
        <v>2242</v>
      </c>
      <c r="IT9" s="869" t="s">
        <v>525</v>
      </c>
      <c r="IU9" s="869" t="s">
        <v>2239</v>
      </c>
      <c r="IV9" s="869" t="s">
        <v>2240</v>
      </c>
      <c r="IW9" s="869" t="s">
        <v>2241</v>
      </c>
      <c r="IX9" s="869" t="s">
        <v>2242</v>
      </c>
      <c r="IY9" s="3456" t="s">
        <v>4184</v>
      </c>
      <c r="IZ9" s="3456" t="s">
        <v>4184</v>
      </c>
      <c r="JA9" s="3456" t="s">
        <v>4184</v>
      </c>
      <c r="JB9" s="3456" t="s">
        <v>4184</v>
      </c>
      <c r="JC9" s="3456" t="s">
        <v>4184</v>
      </c>
      <c r="JD9" s="3456" t="s">
        <v>4185</v>
      </c>
      <c r="JE9" s="3456" t="s">
        <v>4185</v>
      </c>
      <c r="JF9" s="3456" t="s">
        <v>4185</v>
      </c>
      <c r="JG9" s="3456" t="s">
        <v>4185</v>
      </c>
      <c r="JH9" s="3456" t="s">
        <v>4185</v>
      </c>
      <c r="JI9" s="3456" t="s">
        <v>4187</v>
      </c>
      <c r="JJ9" s="3456" t="s">
        <v>4187</v>
      </c>
      <c r="JK9" s="3456" t="s">
        <v>4187</v>
      </c>
      <c r="JL9" s="3456" t="s">
        <v>4187</v>
      </c>
      <c r="JM9" s="3456" t="s">
        <v>4187</v>
      </c>
      <c r="JN9" s="3456" t="s">
        <v>4188</v>
      </c>
      <c r="JO9" s="3456" t="s">
        <v>4188</v>
      </c>
      <c r="JP9" s="3456" t="s">
        <v>4188</v>
      </c>
      <c r="JQ9" s="3456" t="s">
        <v>4188</v>
      </c>
      <c r="JR9" s="3456" t="s">
        <v>4188</v>
      </c>
      <c r="JS9" s="3456" t="s">
        <v>4189</v>
      </c>
      <c r="JT9" s="3456" t="s">
        <v>4189</v>
      </c>
      <c r="JU9" s="3456" t="s">
        <v>4189</v>
      </c>
      <c r="JV9" s="3456" t="s">
        <v>4189</v>
      </c>
      <c r="JW9" s="3456" t="s">
        <v>4189</v>
      </c>
      <c r="JX9" s="3456" t="s">
        <v>4382</v>
      </c>
      <c r="JY9" s="3456" t="s">
        <v>4382</v>
      </c>
      <c r="JZ9" s="3456" t="s">
        <v>4382</v>
      </c>
      <c r="KA9" s="3456" t="s">
        <v>4382</v>
      </c>
      <c r="KB9" s="3456" t="s">
        <v>4382</v>
      </c>
      <c r="KC9" s="3456" t="s">
        <v>4833</v>
      </c>
      <c r="KD9" s="3456" t="s">
        <v>4833</v>
      </c>
      <c r="KE9" s="3456" t="s">
        <v>4833</v>
      </c>
      <c r="KF9" s="3456" t="s">
        <v>4833</v>
      </c>
      <c r="KG9" s="3456" t="s">
        <v>4833</v>
      </c>
      <c r="KH9" s="3456" t="s">
        <v>4834</v>
      </c>
      <c r="KI9" s="3462" t="s">
        <v>4545</v>
      </c>
      <c r="KJ9" s="3462" t="s">
        <v>4545</v>
      </c>
      <c r="KK9" s="3462" t="s">
        <v>4545</v>
      </c>
      <c r="KL9" s="3462" t="s">
        <v>4545</v>
      </c>
      <c r="KM9" s="3462" t="s">
        <v>4191</v>
      </c>
      <c r="KN9" s="3462" t="s">
        <v>4191</v>
      </c>
      <c r="KO9" s="3462" t="s">
        <v>4191</v>
      </c>
      <c r="KP9" s="3462" t="s">
        <v>4191</v>
      </c>
      <c r="KQ9" s="3462" t="s">
        <v>4191</v>
      </c>
      <c r="KR9" s="3462" t="s">
        <v>4383</v>
      </c>
      <c r="KS9" s="3462" t="s">
        <v>4383</v>
      </c>
      <c r="KT9" s="3462" t="s">
        <v>4383</v>
      </c>
      <c r="KU9" s="3462" t="s">
        <v>4383</v>
      </c>
      <c r="KV9" s="3462" t="s">
        <v>4383</v>
      </c>
      <c r="KW9" s="3462" t="s">
        <v>4546</v>
      </c>
      <c r="KX9" s="3462" t="s">
        <v>4546</v>
      </c>
      <c r="KY9" s="3462" t="s">
        <v>4546</v>
      </c>
      <c r="KZ9" s="3462" t="s">
        <v>4546</v>
      </c>
      <c r="LA9" s="3462" t="s">
        <v>4546</v>
      </c>
      <c r="LB9" s="3462" t="s">
        <v>4547</v>
      </c>
      <c r="LC9" s="3462" t="s">
        <v>4547</v>
      </c>
      <c r="LD9" s="3462" t="s">
        <v>4547</v>
      </c>
      <c r="LE9" s="3462" t="s">
        <v>4547</v>
      </c>
      <c r="LF9" s="3462" t="s">
        <v>4547</v>
      </c>
      <c r="LG9" s="3462"/>
      <c r="LH9" s="3462"/>
      <c r="LI9" s="3462"/>
      <c r="LJ9" s="3462"/>
      <c r="LK9" s="3462"/>
      <c r="LL9" s="3462"/>
      <c r="LM9" s="3462"/>
      <c r="LN9" s="3462"/>
      <c r="LO9" s="3462"/>
      <c r="LP9" s="3462"/>
      <c r="LQ9" s="3462"/>
      <c r="LR9" s="3462"/>
      <c r="LS9" s="3462"/>
      <c r="LT9" s="3462"/>
      <c r="LU9" s="3462"/>
      <c r="LV9" s="3462"/>
      <c r="LW9" s="3462"/>
      <c r="LX9" s="3462"/>
      <c r="LY9" s="3462"/>
      <c r="LZ9" s="3462"/>
      <c r="MA9" s="3462"/>
      <c r="MB9" s="3462"/>
      <c r="MC9" s="3462"/>
      <c r="MD9" s="3462"/>
      <c r="ME9" s="3462"/>
      <c r="MF9" s="3462"/>
      <c r="MG9" s="3462"/>
      <c r="MH9" s="3462"/>
      <c r="MI9" s="3462"/>
      <c r="MJ9" s="3462"/>
      <c r="MK9" s="3463"/>
      <c r="ML9" s="3463"/>
      <c r="MM9" s="3463"/>
      <c r="MN9" s="3463"/>
      <c r="MO9" s="3463"/>
      <c r="MP9" s="3462"/>
      <c r="MQ9" s="3462"/>
      <c r="MR9" s="3462"/>
      <c r="MS9" s="3462"/>
      <c r="MT9" s="3462"/>
      <c r="MU9" s="68"/>
      <c r="MV9" s="68"/>
      <c r="MW9" s="68"/>
      <c r="MX9" s="68"/>
      <c r="MY9" s="68"/>
      <c r="MZ9" s="68"/>
      <c r="NA9" s="68"/>
      <c r="NB9" s="68"/>
      <c r="NC9" s="68"/>
      <c r="ND9" s="68"/>
      <c r="NE9" s="68"/>
      <c r="NF9" s="68"/>
      <c r="NG9" s="68"/>
      <c r="NH9" s="68"/>
      <c r="NI9" s="68"/>
      <c r="NJ9" s="68"/>
      <c r="NK9" s="68"/>
      <c r="NL9" s="68"/>
      <c r="NM9" s="68"/>
      <c r="NN9" s="68"/>
      <c r="NO9" s="359"/>
      <c r="NP9" s="1655"/>
      <c r="NQ9" s="2481">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6"/>
      <c r="B10" s="1201" t="s">
        <v>3808</v>
      </c>
      <c r="C10" s="674" t="s">
        <v>164</v>
      </c>
      <c r="D10" s="674" t="s">
        <v>166</v>
      </c>
      <c r="E10" s="674" t="s">
        <v>1381</v>
      </c>
      <c r="F10" s="674" t="s">
        <v>1201</v>
      </c>
      <c r="G10" s="3531"/>
      <c r="H10" s="674" t="s">
        <v>3995</v>
      </c>
      <c r="I10" s="3531"/>
      <c r="J10" s="3536"/>
      <c r="K10" s="357" t="s">
        <v>334</v>
      </c>
      <c r="L10" s="674" t="s">
        <v>1430</v>
      </c>
      <c r="M10" s="674" t="s">
        <v>503</v>
      </c>
      <c r="N10" s="674" t="s">
        <v>1380</v>
      </c>
      <c r="O10" s="674" t="s">
        <v>4395</v>
      </c>
      <c r="P10" s="3540"/>
      <c r="Q10" s="3525"/>
      <c r="R10" s="674" t="s">
        <v>1382</v>
      </c>
      <c r="S10" s="674" t="s">
        <v>2449</v>
      </c>
      <c r="T10" s="10" t="s">
        <v>1706</v>
      </c>
      <c r="W10" s="10"/>
      <c r="X10" s="3456"/>
      <c r="Y10" s="3456"/>
      <c r="Z10" s="3456"/>
      <c r="AA10" s="3456"/>
      <c r="AB10" s="3456"/>
      <c r="AC10" s="3456"/>
      <c r="AD10" s="3456"/>
      <c r="AE10" s="3456"/>
      <c r="AF10" s="3456"/>
      <c r="AG10" s="3456"/>
      <c r="AH10" s="3456"/>
      <c r="AI10" s="3456"/>
      <c r="AJ10" s="3456"/>
      <c r="AK10" s="3456"/>
      <c r="AL10" s="3456"/>
      <c r="AM10" s="3456"/>
      <c r="AN10" s="3456"/>
      <c r="AO10" s="3456"/>
      <c r="AP10" s="3456"/>
      <c r="AQ10" s="3456"/>
      <c r="AR10" s="3456"/>
      <c r="AS10" s="3456"/>
      <c r="AT10" s="3456"/>
      <c r="AU10" s="3456"/>
      <c r="AV10" s="3456"/>
      <c r="AW10" s="3456"/>
      <c r="AX10" s="3456"/>
      <c r="AY10" s="3456"/>
      <c r="AZ10" s="3456"/>
      <c r="BA10" s="3456"/>
      <c r="BB10" s="3456"/>
      <c r="BC10" s="3456"/>
      <c r="BD10" s="3456"/>
      <c r="BE10" s="3456"/>
      <c r="BF10" s="3456"/>
      <c r="BG10" s="3456"/>
      <c r="BH10" s="3456"/>
      <c r="BI10" s="3456"/>
      <c r="BJ10" s="3456"/>
      <c r="BK10" s="3456"/>
      <c r="BL10" s="3456"/>
      <c r="BM10" s="3456"/>
      <c r="BN10" s="3456"/>
      <c r="BO10" s="3456"/>
      <c r="BP10" s="3456"/>
      <c r="BQ10" s="3456"/>
      <c r="BR10" s="3456"/>
      <c r="BS10" s="3456"/>
      <c r="BT10" s="3456"/>
      <c r="BU10" s="3456"/>
      <c r="BV10" s="3456"/>
      <c r="BW10" s="3456"/>
      <c r="BX10" s="3456"/>
      <c r="BY10" s="3456"/>
      <c r="BZ10" s="3456"/>
      <c r="CA10" s="3456"/>
      <c r="CB10" s="3456"/>
      <c r="CC10" s="3456"/>
      <c r="CD10" s="3456"/>
      <c r="CE10" s="3456"/>
      <c r="CF10" s="3456"/>
      <c r="CG10" s="3456"/>
      <c r="CH10" s="3456"/>
      <c r="CI10" s="3456"/>
      <c r="CJ10" s="3456"/>
      <c r="CK10" s="3456"/>
      <c r="CL10" s="3456"/>
      <c r="CM10" s="3456"/>
      <c r="CN10" s="3456"/>
      <c r="CO10" s="3456"/>
      <c r="CP10" s="3456"/>
      <c r="CQ10" s="3456"/>
      <c r="CR10" s="3456"/>
      <c r="CS10" s="3456"/>
      <c r="CT10" s="3456"/>
      <c r="CU10" s="3456"/>
      <c r="CV10" s="3456"/>
      <c r="CW10" s="3456"/>
      <c r="CX10" s="3456"/>
      <c r="CY10" s="3456"/>
      <c r="CZ10" s="3456"/>
      <c r="DA10" s="3456"/>
      <c r="DB10" s="3456"/>
      <c r="DC10" s="3456"/>
      <c r="DD10" s="3456"/>
      <c r="DE10" s="3456"/>
      <c r="DF10" s="3456"/>
      <c r="DG10" s="3456"/>
      <c r="DH10" s="3456"/>
      <c r="DI10" s="3456"/>
      <c r="DJ10" s="3456"/>
      <c r="DK10" s="3456"/>
      <c r="DL10" s="3456"/>
      <c r="DM10" s="3456"/>
      <c r="DN10" s="3456"/>
      <c r="DO10" s="3456"/>
      <c r="DP10" s="3456"/>
      <c r="DQ10" s="3456"/>
      <c r="DR10" s="3456"/>
      <c r="DS10" s="3456"/>
      <c r="DT10" s="3456"/>
      <c r="DU10" s="3456"/>
      <c r="DV10" s="3456"/>
      <c r="DW10" s="3456"/>
      <c r="DX10" s="3456"/>
      <c r="DY10" s="3456"/>
      <c r="DZ10" s="3456"/>
      <c r="EA10" s="3456"/>
      <c r="EB10" s="3456"/>
      <c r="EC10" s="3456"/>
      <c r="ED10" s="3456"/>
      <c r="EE10" s="3456"/>
      <c r="EF10" s="3456"/>
      <c r="EG10" s="3456"/>
      <c r="EH10" s="3456"/>
      <c r="EI10" s="3456"/>
      <c r="EJ10" s="3456"/>
      <c r="EK10" s="3456"/>
      <c r="EL10" s="3456"/>
      <c r="EM10" s="3456"/>
      <c r="EN10" s="3456"/>
      <c r="EO10" s="3456"/>
      <c r="EP10" s="3456"/>
      <c r="EQ10" s="3456"/>
      <c r="ER10" s="3456"/>
      <c r="ES10" s="3456"/>
      <c r="ET10" s="3456"/>
      <c r="EU10" s="3456"/>
      <c r="EV10" s="3456"/>
      <c r="EW10" s="3456"/>
      <c r="EX10" s="3456"/>
      <c r="EY10" s="3456"/>
      <c r="EZ10" s="3456"/>
      <c r="FA10" s="3456"/>
      <c r="FB10" s="3456"/>
      <c r="FC10" s="3456"/>
      <c r="FD10" s="3456"/>
      <c r="FE10" s="3456"/>
      <c r="FF10" s="3456"/>
      <c r="FG10" s="3456"/>
      <c r="FH10" s="3456"/>
      <c r="FI10" s="3456"/>
      <c r="FJ10" s="3456"/>
      <c r="FK10" s="3456"/>
      <c r="FL10" s="3456"/>
      <c r="FM10" s="3456"/>
      <c r="FN10" s="3456"/>
      <c r="FO10" s="3456"/>
      <c r="FP10" s="3456"/>
      <c r="FQ10" s="3456"/>
      <c r="FR10" s="3456"/>
      <c r="FS10" s="3456"/>
      <c r="FT10" s="3456"/>
      <c r="FU10" s="3456"/>
      <c r="FV10" s="3456"/>
      <c r="FW10" s="3456"/>
      <c r="FX10" s="3456"/>
      <c r="FY10" s="3456"/>
      <c r="FZ10" s="3456"/>
      <c r="GA10" s="3456"/>
      <c r="GB10" s="3456"/>
      <c r="GC10" s="3456"/>
      <c r="GD10" s="3456"/>
      <c r="GE10" s="3456"/>
      <c r="GF10" s="3456"/>
      <c r="GG10" s="3456"/>
      <c r="GH10" s="3456"/>
      <c r="GI10" s="3456"/>
      <c r="GJ10" s="3456"/>
      <c r="GK10" s="3456"/>
      <c r="GL10" s="3456"/>
      <c r="GM10" s="3456"/>
      <c r="GN10" s="3456"/>
      <c r="GO10" s="3456"/>
      <c r="GP10" s="3456"/>
      <c r="GQ10" s="3456"/>
      <c r="GR10" s="3456"/>
      <c r="GS10" s="3456"/>
      <c r="GT10" s="3456"/>
      <c r="GU10" s="3456"/>
      <c r="GV10" s="3456"/>
      <c r="GW10" s="3456"/>
      <c r="GX10" s="3456"/>
      <c r="GY10" s="3456"/>
      <c r="GZ10" s="3456"/>
      <c r="HA10" s="3456"/>
      <c r="HB10" s="3456"/>
      <c r="HC10" s="3456"/>
      <c r="HD10" s="3456"/>
      <c r="HE10" s="3456"/>
      <c r="HF10" s="3456"/>
      <c r="HG10" s="3456"/>
      <c r="HH10" s="3456"/>
      <c r="HI10" s="3456"/>
      <c r="HJ10" s="3456"/>
      <c r="HK10" s="3456"/>
      <c r="HL10" s="3456"/>
      <c r="HM10" s="3456"/>
      <c r="HN10" s="3456"/>
      <c r="HO10" s="3456"/>
      <c r="HP10" s="3456"/>
      <c r="HQ10" s="3456"/>
      <c r="HR10" s="3456"/>
      <c r="HS10" s="3456"/>
      <c r="HT10" s="3456"/>
      <c r="HU10" s="3456"/>
      <c r="HV10" s="3456"/>
      <c r="HW10" s="3456"/>
      <c r="HX10" s="3456"/>
      <c r="HY10" s="3456"/>
      <c r="HZ10" s="3456"/>
      <c r="IA10" s="869" t="s">
        <v>2292</v>
      </c>
      <c r="IB10" s="869" t="s">
        <v>2292</v>
      </c>
      <c r="IC10" s="869" t="s">
        <v>2292</v>
      </c>
      <c r="ID10" s="869" t="s">
        <v>2292</v>
      </c>
      <c r="IE10" s="3456"/>
      <c r="IF10" s="3456"/>
      <c r="IG10" s="3456"/>
      <c r="IH10" s="3456"/>
      <c r="II10" s="3456"/>
      <c r="IJ10" s="3456"/>
      <c r="IK10" s="3456"/>
      <c r="IL10" s="3456"/>
      <c r="IM10" s="3456"/>
      <c r="IN10" s="3456"/>
      <c r="IO10" s="869" t="s">
        <v>2294</v>
      </c>
      <c r="IP10" s="869" t="s">
        <v>2294</v>
      </c>
      <c r="IQ10" s="869" t="s">
        <v>2294</v>
      </c>
      <c r="IR10" s="869" t="s">
        <v>2294</v>
      </c>
      <c r="IS10" s="869" t="s">
        <v>2294</v>
      </c>
      <c r="IT10" s="869" t="s">
        <v>2929</v>
      </c>
      <c r="IU10" s="869" t="s">
        <v>2929</v>
      </c>
      <c r="IV10" s="869" t="s">
        <v>2929</v>
      </c>
      <c r="IW10" s="869" t="s">
        <v>2929</v>
      </c>
      <c r="IX10" s="869" t="s">
        <v>2929</v>
      </c>
      <c r="IY10" s="3456"/>
      <c r="IZ10" s="3456"/>
      <c r="JA10" s="3456"/>
      <c r="JB10" s="3456"/>
      <c r="JC10" s="3456"/>
      <c r="JD10" s="3456"/>
      <c r="JE10" s="3456"/>
      <c r="JF10" s="3456"/>
      <c r="JG10" s="3456"/>
      <c r="JH10" s="3456"/>
      <c r="JI10" s="3456"/>
      <c r="JJ10" s="3456"/>
      <c r="JK10" s="3456"/>
      <c r="JL10" s="3456"/>
      <c r="JM10" s="3456"/>
      <c r="JN10" s="3456"/>
      <c r="JO10" s="3456"/>
      <c r="JP10" s="3456"/>
      <c r="JQ10" s="3456"/>
      <c r="JR10" s="3456"/>
      <c r="JS10" s="3456"/>
      <c r="JT10" s="3456"/>
      <c r="JU10" s="3456"/>
      <c r="JV10" s="3456"/>
      <c r="JW10" s="3456"/>
      <c r="JX10" s="3456"/>
      <c r="JY10" s="3456"/>
      <c r="JZ10" s="3456"/>
      <c r="KA10" s="3456"/>
      <c r="KB10" s="3456"/>
      <c r="KC10" s="3456"/>
      <c r="KD10" s="3456"/>
      <c r="KE10" s="3456"/>
      <c r="KF10" s="3456"/>
      <c r="KG10" s="3456"/>
      <c r="KH10" s="3456"/>
      <c r="KI10" s="3462"/>
      <c r="KJ10" s="3462"/>
      <c r="KK10" s="3462"/>
      <c r="KL10" s="3462"/>
      <c r="KM10" s="3462"/>
      <c r="KN10" s="3462"/>
      <c r="KO10" s="3462"/>
      <c r="KP10" s="3462"/>
      <c r="KQ10" s="3462"/>
      <c r="KR10" s="3462"/>
      <c r="KS10" s="3462"/>
      <c r="KT10" s="3462"/>
      <c r="KU10" s="3462"/>
      <c r="KV10" s="3462"/>
      <c r="KW10" s="3462"/>
      <c r="KX10" s="3462"/>
      <c r="KY10" s="3462"/>
      <c r="KZ10" s="3462"/>
      <c r="LA10" s="3462"/>
      <c r="LB10" s="3462"/>
      <c r="LC10" s="3462"/>
      <c r="LD10" s="3462"/>
      <c r="LE10" s="3462"/>
      <c r="LF10" s="3462"/>
      <c r="LG10" s="3462"/>
      <c r="LH10" s="3462"/>
      <c r="LI10" s="3462"/>
      <c r="LJ10" s="3462"/>
      <c r="LK10" s="3462"/>
      <c r="LL10" s="3462"/>
      <c r="LM10" s="3462"/>
      <c r="LN10" s="3462"/>
      <c r="LO10" s="3462"/>
      <c r="LP10" s="3462"/>
      <c r="LQ10" s="3462"/>
      <c r="LR10" s="3462"/>
      <c r="LS10" s="3462"/>
      <c r="LT10" s="3462"/>
      <c r="LU10" s="3462"/>
      <c r="LV10" s="3462"/>
      <c r="LW10" s="3462"/>
      <c r="LX10" s="3462"/>
      <c r="LY10" s="3462"/>
      <c r="LZ10" s="3462"/>
      <c r="MA10" s="3462"/>
      <c r="MB10" s="3462"/>
      <c r="MC10" s="3462"/>
      <c r="MD10" s="3462"/>
      <c r="ME10" s="3462"/>
      <c r="MF10" s="3462"/>
      <c r="MG10" s="3462"/>
      <c r="MH10" s="3462"/>
      <c r="MI10" s="3462"/>
      <c r="MJ10" s="3462"/>
      <c r="MK10" s="3463"/>
      <c r="ML10" s="3463"/>
      <c r="MM10" s="3463"/>
      <c r="MN10" s="3463"/>
      <c r="MO10" s="3463"/>
      <c r="MP10" s="3462"/>
      <c r="MQ10" s="3462"/>
      <c r="MR10" s="3462"/>
      <c r="MS10" s="3462"/>
      <c r="MT10" s="3462"/>
      <c r="MU10" s="68"/>
      <c r="MV10" s="68"/>
      <c r="MW10" s="68"/>
      <c r="MX10" s="68"/>
      <c r="MY10" s="68"/>
      <c r="MZ10" s="68"/>
      <c r="NA10" s="68"/>
      <c r="NB10" s="68"/>
      <c r="NC10" s="68"/>
      <c r="ND10" s="68"/>
      <c r="NE10" s="68"/>
      <c r="NF10" s="68"/>
      <c r="NG10" s="68"/>
      <c r="NH10" s="68"/>
      <c r="NI10" s="68"/>
      <c r="NJ10" s="68"/>
      <c r="NK10" s="68"/>
      <c r="NL10" s="68"/>
      <c r="NM10" s="68"/>
      <c r="NN10" s="68"/>
      <c r="NO10" s="359"/>
      <c r="NP10" s="1655"/>
      <c r="NQ10" s="2480">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3556</v>
      </c>
      <c r="C11" s="129"/>
      <c r="D11" s="1659"/>
      <c r="E11" s="130"/>
      <c r="F11" s="130"/>
      <c r="G11" s="130"/>
      <c r="H11" s="130"/>
      <c r="I11" s="1364"/>
      <c r="J11" s="1365"/>
      <c r="K11" s="631"/>
      <c r="L11" s="459">
        <f t="shared" ref="L11:L48" si="1">MAX(0,H11-I11-J11)</f>
        <v>0</v>
      </c>
      <c r="M11" s="459">
        <f t="shared" ref="M11:M48" si="2">MAX(0,E11*L11)</f>
        <v>0</v>
      </c>
      <c r="N11" s="682"/>
      <c r="O11" s="1593"/>
      <c r="P11" s="682"/>
      <c r="Q11" s="131"/>
      <c r="R11" s="724"/>
      <c r="S11" s="725"/>
      <c r="T11" s="3459"/>
      <c r="U11" s="3460"/>
      <c r="V11" s="3460"/>
      <c r="W11" s="3461"/>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5" t="str">
        <f t="shared" ref="HZ11:HZ48" si="213">IF(AND($C11="Efficiency", NOT(OR($O11="SF Detached",$O11="Mfd Home",$O11="Semi-Detached",$O11="Row House/TH"))),$E11,"")</f>
        <v/>
      </c>
      <c r="IA11" s="1805" t="str">
        <f t="shared" ref="IA11:IA48" si="214">IF(AND($C11=1, NOT(OR($O11="SF Detached",$O11="Mfd Home",$O11="Semi-Detached",$O11="Row House/TH"))),$E11,"")</f>
        <v/>
      </c>
      <c r="IB11" s="1805" t="str">
        <f t="shared" ref="IB11:IB48" si="215">IF(AND($C11=2, NOT(OR($O11="SF Detached",$O11="Mfd Home",$O11="Semi-Detached",$O11="Row House/TH"))),$E11,"")</f>
        <v/>
      </c>
      <c r="IC11" s="1805" t="str">
        <f t="shared" ref="IC11:IC48" si="216">IF(AND($C11=3, NOT(OR($O11="SF Detached",$O11="Mfd Home",$O11="Semi-Detached",$O11="Row House/TH"))),$E11,"")</f>
        <v/>
      </c>
      <c r="ID11" s="1805" t="str">
        <f t="shared" ref="ID11:ID48" si="217">IF(AND($C11=4, NOT(OR($O11="SF Detached",$O11="Mfd Home",$O11="Semi-Detached",$O11="Row House/TH"))),$E11,"")</f>
        <v/>
      </c>
      <c r="IE11" s="1805" t="str">
        <f t="shared" ref="IE11:IE48" si="218">IF(AND($C11="Efficiency", $O11="SF Detached",NOT($Q11="Yes")),$E11,"")</f>
        <v/>
      </c>
      <c r="IF11" s="1805" t="str">
        <f t="shared" ref="IF11:IF48" si="219">IF(AND($C11=1, $O11="SF Detached",NOT($Q11="Yes")),$E11,"")</f>
        <v/>
      </c>
      <c r="IG11" s="1805" t="str">
        <f t="shared" ref="IG11:IG48" si="220">IF(AND($C11=2, $O11="SF Detached",NOT($Q11="Yes")),$E11,"")</f>
        <v/>
      </c>
      <c r="IH11" s="1805" t="str">
        <f t="shared" ref="IH11:IH48" si="221">IF(AND($C11=3, $O11="SF Detached",NOT($Q11="Yes")),$E11,"")</f>
        <v/>
      </c>
      <c r="II11" s="1805" t="str">
        <f t="shared" ref="II11:II48" si="222">IF(AND($C11=4, $O11="SF Detached",NOT($Q11="Yes")),$E11,"")</f>
        <v/>
      </c>
      <c r="IJ11" s="1805" t="str">
        <f t="shared" ref="IJ11:IJ48" si="223">IF(AND($C11="Efficiency", $O11="SF Detached",$Q11="Yes"),$E11,"")</f>
        <v/>
      </c>
      <c r="IK11" s="1805" t="str">
        <f t="shared" ref="IK11:IK48" si="224">IF(AND($C11=1, $O11="SF Detached",$Q11="Yes"),$E11,"")</f>
        <v/>
      </c>
      <c r="IL11" s="1805" t="str">
        <f t="shared" ref="IL11:IL48" si="225">IF(AND($C11=2, $O11="SF Detached",$Q11="Yes"),$E11,"")</f>
        <v/>
      </c>
      <c r="IM11" s="1805" t="str">
        <f t="shared" ref="IM11:IM48" si="226">IF(AND($C11=3, $O11="SF Detached",$Q11="Yes"),$E11,"")</f>
        <v/>
      </c>
      <c r="IN11" s="1805" t="str">
        <f t="shared" ref="IN11:IN48" si="227">IF(AND($C11=4, $O11="SF Detached",$Q11="Yes"),$E11,"")</f>
        <v/>
      </c>
      <c r="IO11" s="1805" t="str">
        <f t="shared" ref="IO11:IO48" si="228">IF(AND($C11="Efficiency", $O11="Mfd Home",NOT($Q11="Yes")),$E11,"")</f>
        <v/>
      </c>
      <c r="IP11" s="1805" t="str">
        <f t="shared" ref="IP11:IP48" si="229">IF(AND($C11=1, $O11="Mfd Home",NOT($Q11="Yes")),$E11,"")</f>
        <v/>
      </c>
      <c r="IQ11" s="1805" t="str">
        <f t="shared" ref="IQ11:IQ48" si="230">IF(AND($C11=2, $O11="Mfd Home",NOT($Q11="Yes")),$E11,"")</f>
        <v/>
      </c>
      <c r="IR11" s="1805" t="str">
        <f t="shared" ref="IR11:IR48" si="231">IF(AND($C11=3, $O11="Mfd Home",NOT($Q11="Yes")),$E11,"")</f>
        <v/>
      </c>
      <c r="IS11" s="1805" t="str">
        <f t="shared" ref="IS11:IS48" si="232">IF(AND($C11=4, $O11="Mfd Home",NOT($Q11="Yes")),$E11,"")</f>
        <v/>
      </c>
      <c r="IT11" s="1805" t="str">
        <f t="shared" ref="IT11:IT48" si="233">IF(AND($C11="Efficiency", $O11="Mfd Home",$Q11="Yes"),$E11,"")</f>
        <v/>
      </c>
      <c r="IU11" s="1805" t="str">
        <f t="shared" ref="IU11:IU48" si="234">IF(AND($C11=1, $O11="Mfd Home",$Q11="Yes"),$E11,"")</f>
        <v/>
      </c>
      <c r="IV11" s="1805" t="str">
        <f t="shared" ref="IV11:IV48" si="235">IF(AND($C11=2, $O11="Mfd Home",$Q11="Yes"),$E11,"")</f>
        <v/>
      </c>
      <c r="IW11" s="1805" t="str">
        <f t="shared" ref="IW11:IW48" si="236">IF(AND($C11=3, $O11="Mfd Home",$Q11="Yes"),$E11,"")</f>
        <v/>
      </c>
      <c r="IX11" s="1805" t="str">
        <f t="shared" ref="IX11:IX48" si="237">IF(AND($C11=4, $O11="Mfd Home",$Q11="Yes"),$E11,"")</f>
        <v/>
      </c>
      <c r="IY11" s="1805" t="str">
        <f t="shared" ref="IY11:IY48" si="238">IF(AND($C11="Efficiency", $O11="Semi-Detached",NOT($Q11="Yes")),$E11,"")</f>
        <v/>
      </c>
      <c r="IZ11" s="1805" t="str">
        <f t="shared" ref="IZ11:IZ48" si="239">IF(AND($C11=1, $O11="Semi-Detached",NOT($Q11="Yes")),$E11,"")</f>
        <v/>
      </c>
      <c r="JA11" s="1805" t="str">
        <f t="shared" ref="JA11:JA48" si="240">IF(AND($C11=2, $O11="Semi-Detached",NOT($Q11="Yes")),$E11,"")</f>
        <v/>
      </c>
      <c r="JB11" s="1805" t="str">
        <f t="shared" ref="JB11:JB48" si="241">IF(AND($C11=3, $O11="Semi-Detached",NOT($Q11="Yes")),$E11,"")</f>
        <v/>
      </c>
      <c r="JC11" s="1805" t="str">
        <f t="shared" ref="JC11:JC48" si="242">IF(AND($C11=4, $O11="Semi-Detached",NOT($Q11="Yes")),$E11,"")</f>
        <v/>
      </c>
      <c r="JD11" s="1805" t="str">
        <f t="shared" ref="JD11:JD48" si="243">IF(AND($C11="Efficiency", $O11="Semi-Detached",$Q11="Yes"),$E11,"")</f>
        <v/>
      </c>
      <c r="JE11" s="1805" t="str">
        <f t="shared" ref="JE11:JE48" si="244">IF(AND($C11=1, $O11="Semi-Detached",$Q11="Yes"),$E11,"")</f>
        <v/>
      </c>
      <c r="JF11" s="1805" t="str">
        <f t="shared" ref="JF11:JF48" si="245">IF(AND($C11=2, $O11="Semi-Detached",$Q11="Yes"),$E11,"")</f>
        <v/>
      </c>
      <c r="JG11" s="1805" t="str">
        <f t="shared" ref="JG11:JG48" si="246">IF(AND($C11=3, $O11="Semi-Detached",$Q11="Yes"),$E11,"")</f>
        <v/>
      </c>
      <c r="JH11" s="1805" t="str">
        <f t="shared" ref="JH11:JH48" si="247">IF(AND($C11=4, $O11="Semi-Detached",$Q11="Yes"),$E11,"")</f>
        <v/>
      </c>
      <c r="JI11" s="1805" t="str">
        <f t="shared" ref="JI11:JI48" si="248">IF(AND($C11="Efficiency", $O11="Row House/TH",NOT($Q11="Yes")),$E11,"")</f>
        <v/>
      </c>
      <c r="JJ11" s="1805" t="str">
        <f t="shared" ref="JJ11:JJ48" si="249">IF(AND($C11=1, $O11="Row House/TH",NOT($Q11="Yes")),$E11,"")</f>
        <v/>
      </c>
      <c r="JK11" s="1805" t="str">
        <f t="shared" ref="JK11:JK48" si="250">IF(AND($C11=2, $O11="Row House/TH",NOT($Q11="Yes")),$E11,"")</f>
        <v/>
      </c>
      <c r="JL11" s="1805" t="str">
        <f t="shared" ref="JL11:JL48" si="251">IF(AND($C11=3, $O11="Row House/TH",NOT($Q11="Yes")),$E11,"")</f>
        <v/>
      </c>
      <c r="JM11" s="1805" t="str">
        <f t="shared" ref="JM11:JM48" si="252">IF(AND($C11=4, $O11="Row House/TH",NOT($Q11="Yes")),$E11,"")</f>
        <v/>
      </c>
      <c r="JN11" s="1805" t="str">
        <f t="shared" ref="JN11:JN48" si="253">IF(AND($C11="Efficiency", $O11="Row House/TH",$Q11="Yes"),$E11,"")</f>
        <v/>
      </c>
      <c r="JO11" s="1805" t="str">
        <f t="shared" ref="JO11:JO48" si="254">IF(AND($C11=1, $O11="Row House/TH",$Q11="Yes"),$E11,"")</f>
        <v/>
      </c>
      <c r="JP11" s="1805" t="str">
        <f t="shared" ref="JP11:JP48" si="255">IF(AND($C11=2, $O11="Row House/TH",$Q11="Yes"),$E11,"")</f>
        <v/>
      </c>
      <c r="JQ11" s="1805" t="str">
        <f t="shared" ref="JQ11:JQ48" si="256">IF(AND($C11=3, $O11="Row House/TH",$Q11="Yes"),$E11,"")</f>
        <v/>
      </c>
      <c r="JR11" s="1805" t="str">
        <f t="shared" ref="JR11:JR48" si="257">IF(AND($C11=4, $O11="Row House/TH",$Q11="Yes"),$E11,"")</f>
        <v/>
      </c>
      <c r="JS11" s="1805" t="str">
        <f t="shared" ref="JS11:JS48" si="258">IF(AND($C11="Efficiency", $O11="Low-Rise Apt",NOT($Q11="Yes")),$E11,"")</f>
        <v/>
      </c>
      <c r="JT11" s="1805" t="str">
        <f t="shared" ref="JT11:JT48" si="259">IF(AND($C11=1, $O11="Low-Rise Apt",NOT($Q11="Yes")),$E11,"")</f>
        <v/>
      </c>
      <c r="JU11" s="1805" t="str">
        <f t="shared" ref="JU11:JU48" si="260">IF(AND($C11=2, $O11="Low-Rise Apt",NOT($Q11="Yes")),$E11,"")</f>
        <v/>
      </c>
      <c r="JV11" s="1805" t="str">
        <f t="shared" ref="JV11:JV48" si="261">IF(AND($C11=3, $O11="Low-Rise Apt",NOT($Q11="Yes")),$E11,"")</f>
        <v/>
      </c>
      <c r="JW11" s="1805" t="str">
        <f t="shared" ref="JW11:JW48" si="262">IF(AND($C11=4, $O11="Low-Rise Apt",NOT($Q11="Yes")),$E11,"")</f>
        <v/>
      </c>
      <c r="JX11" s="1805" t="str">
        <f t="shared" ref="JX11:JX48" si="263">IF(AND($C11="Efficiency", $O11="Low-Rise Elevator",NOT($Q11="Yes")),$E11,"")</f>
        <v/>
      </c>
      <c r="JY11" s="1805" t="str">
        <f t="shared" ref="JY11:JY48" si="264">IF(AND($C11=1, $O11="Low-Rise Elevator",NOT($Q11="Yes")),$E11,"")</f>
        <v/>
      </c>
      <c r="JZ11" s="1805" t="str">
        <f t="shared" ref="JZ11:JZ48" si="265">IF(AND($C11=2, $O11="Low-Rise Elevator",NOT($Q11="Yes")),$E11,"")</f>
        <v/>
      </c>
      <c r="KA11" s="1805" t="str">
        <f t="shared" ref="KA11:KA48" si="266">IF(AND($C11=3, $O11="Low-Rise Elevator",NOT($Q11="Yes")),$E11,"")</f>
        <v/>
      </c>
      <c r="KB11" s="1805" t="str">
        <f t="shared" ref="KB11:KB48" si="267">IF(AND($C11=4, $O11="Low-Rise Elevator",NOT($Q11="Yes")),$E11,"")</f>
        <v/>
      </c>
      <c r="KC11" s="1805" t="str">
        <f t="shared" ref="KC11:KC48" si="268">IF(AND($C11="Efficiency", $O11="Low-Rise Apt",$Q11="Yes"),$E11,"")</f>
        <v/>
      </c>
      <c r="KD11" s="1805" t="str">
        <f t="shared" ref="KD11:KD48" si="269">IF(AND($C11=1, $O11="Low-Rise Apt",$Q11="Yes"),$E11,"")</f>
        <v/>
      </c>
      <c r="KE11" s="1805" t="str">
        <f t="shared" ref="KE11:KE48" si="270">IF(AND($C11=2, $O11="Low-Rise Apt",$Q11="Yes"),$E11,"")</f>
        <v/>
      </c>
      <c r="KF11" s="1805" t="str">
        <f t="shared" ref="KF11:KF48" si="271">IF(AND($C11=3, $O11="Low-Rise Apt",$Q11="Yes"),$E11,"")</f>
        <v/>
      </c>
      <c r="KG11" s="1805" t="str">
        <f t="shared" ref="KG11:KG48" si="272">IF(AND($C11=4, $O11="Low-Rise Apt",$Q11="Yes"),$E11,"")</f>
        <v/>
      </c>
      <c r="KH11" s="1805" t="str">
        <f t="shared" ref="KH11:KH48" si="273">IF(AND($C11="Efficiency", $O11="Low-Rise Elevator",$Q11="Yes"),$E11,"")</f>
        <v/>
      </c>
      <c r="KI11" s="1805" t="str">
        <f t="shared" ref="KI11:KI48" si="274">IF(AND($C11=1, $O11="Low-Rise Elevator",$Q11="Yes"),$E11,"")</f>
        <v/>
      </c>
      <c r="KJ11" s="1805" t="str">
        <f t="shared" ref="KJ11:KJ48" si="275">IF(AND($C11=2, $O11="Low-Rise Elevator",$Q11="Yes"),$E11,"")</f>
        <v/>
      </c>
      <c r="KK11" s="1805" t="str">
        <f t="shared" ref="KK11:KK48" si="276">IF(AND($C11=3, $O11="Low-Rise Elevator",$Q11="Yes"),$E11,"")</f>
        <v/>
      </c>
      <c r="KL11" s="1805" t="str">
        <f t="shared" ref="KL11:KL48" si="277">IF(AND($C11=4, $O11="Low-Rise Elevator",$Q11="Yes"),$E11,"")</f>
        <v/>
      </c>
      <c r="KM11" s="1805" t="str">
        <f t="shared" ref="KM11:KM48" si="278">IF(AND($C11="Efficiency", $O11="High-Rise Apt",NOT($Q11="Yes")),$E11,"")</f>
        <v/>
      </c>
      <c r="KN11" s="1805" t="str">
        <f t="shared" ref="KN11:KN48" si="279">IF(AND($C11=1, $O11="High-Rise Apt",NOT($Q11="Yes")),$E11,"")</f>
        <v/>
      </c>
      <c r="KO11" s="1805" t="str">
        <f t="shared" ref="KO11:KO48" si="280">IF(AND($C11=2, $O11="High-Rise Apt",NOT($Q11="Yes")),$E11,"")</f>
        <v/>
      </c>
      <c r="KP11" s="1805" t="str">
        <f t="shared" ref="KP11:KP48" si="281">IF(AND($C11=3, $O11="High-Rise Apt",NOT($Q11="Yes")),$E11,"")</f>
        <v/>
      </c>
      <c r="KQ11" s="1805" t="str">
        <f t="shared" ref="KQ11:KQ48" si="282">IF(AND($C11=4, $O11="High-Rise Apt",NOT($Q11="Yes")),$E11,"")</f>
        <v/>
      </c>
      <c r="KR11" s="1805" t="str">
        <f t="shared" ref="KR11:KR48" si="283">IF(AND($C11="Efficiency", $O11="High-Rise Elevator",NOT($Q11="Yes")),$E11,"")</f>
        <v/>
      </c>
      <c r="KS11" s="1805" t="str">
        <f t="shared" ref="KS11:KS48" si="284">IF(AND($C11=1, $O11="High-Rise Elevator",NOT($Q11="Yes")),$E11,"")</f>
        <v/>
      </c>
      <c r="KT11" s="1805" t="str">
        <f t="shared" ref="KT11:KT48" si="285">IF(AND($C11=2, $O11="High-Rise Elevator",NOT($Q11="Yes")),$E11,"")</f>
        <v/>
      </c>
      <c r="KU11" s="1805" t="str">
        <f t="shared" ref="KU11:KU48" si="286">IF(AND($C11=3, $O11="High-Rise Elevator",NOT($Q11="Yes")),$E11,"")</f>
        <v/>
      </c>
      <c r="KV11" s="1805" t="str">
        <f t="shared" ref="KV11:KV48" si="287">IF(AND($C11=4, $O11="High-Rise Elevator",NOT($Q11="Yes")),$E11,"")</f>
        <v/>
      </c>
      <c r="KW11" s="1805" t="str">
        <f t="shared" ref="KW11:KW48" si="288">IF(AND($C11="Efficiency", $O11="High-Rise Apt",$Q11="Yes"),$E11,"")</f>
        <v/>
      </c>
      <c r="KX11" s="1805" t="str">
        <f t="shared" ref="KX11:KX48" si="289">IF(AND($C11=1, $O11="High-Rise Apt",$Q11="Yes"),$E11,"")</f>
        <v/>
      </c>
      <c r="KY11" s="1805" t="str">
        <f t="shared" ref="KY11:KY48" si="290">IF(AND($C11=2, $O11="High-Rise Apt",$Q11="Yes"),$E11,"")</f>
        <v/>
      </c>
      <c r="KZ11" s="1805" t="str">
        <f t="shared" ref="KZ11:KZ48" si="291">IF(AND($C11=3, $O11="High-Rise Apt",$Q11="Yes"),$E11,"")</f>
        <v/>
      </c>
      <c r="LA11" s="1805" t="str">
        <f t="shared" ref="LA11:LA48" si="292">IF(AND($C11=4, $O11="High-Rise Apt",$Q11="Yes"),$E11,"")</f>
        <v/>
      </c>
      <c r="LB11" s="1805" t="str">
        <f t="shared" ref="LB11:LB48" si="293">IF(AND($C11="Efficiency", $O11="High-Rise Elevator",$Q11="Yes"),$E11,"")</f>
        <v/>
      </c>
      <c r="LC11" s="1805" t="str">
        <f t="shared" ref="LC11:LC48" si="294">IF(AND($C11=1, $O11="High-Rise Elevator",$Q11="Yes"),$E11,"")</f>
        <v/>
      </c>
      <c r="LD11" s="1805" t="str">
        <f t="shared" ref="LD11:LD48" si="295">IF(AND($C11=2, $O11="High-Rise Elevator",$Q11="Yes"),$E11,"")</f>
        <v/>
      </c>
      <c r="LE11" s="1805" t="str">
        <f t="shared" ref="LE11:LE48" si="296">IF(AND($C11=3, $O11="High-Rise Elevator",$Q11="Yes"),$E11,"")</f>
        <v/>
      </c>
      <c r="LF11" s="1805" t="str">
        <f t="shared" ref="LF11:LF48" si="297">IF(AND($C11=4, $O11="High-Rise Elevator",$Q11="Yes"),$E11,"")</f>
        <v/>
      </c>
      <c r="LG11" s="1794" t="str">
        <f t="shared" ref="LG11:LG48" si="298">IF(AND($B11="NSP 120% AMI",$C11="Efficiency", NOT($N11="Common Space")),$E11,"")</f>
        <v/>
      </c>
      <c r="LH11" s="1794" t="str">
        <f t="shared" ref="LH11:LH48" si="299">IF(AND($B11="NSP 120% AMI",$C11=1,NOT($N11="Common Space")),$E11,"")</f>
        <v/>
      </c>
      <c r="LI11" s="1794" t="str">
        <f t="shared" ref="LI11:LI48" si="300">IF(AND($B11="NSP 120% AMI",$C11=2,NOT($N11="Common Space")),$E11,"")</f>
        <v/>
      </c>
      <c r="LJ11" s="1794" t="str">
        <f t="shared" ref="LJ11:LJ48" si="301">IF(AND($B11="NSP 120% AMI",$C11=3,NOT($N11="Common Space")),$E11,"")</f>
        <v/>
      </c>
      <c r="LK11" s="1794"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7">
        <f t="shared" ref="MF11:MF48" si="323">IF(AND($C11="Efficiency",$E11&gt;0,OR($O11="Low-Rise Apt",$O11="Low-Rise Elevator",$O11="High-Rise Apt",$O11="High-Rise Elevator",$O11="Row House/TH"),OR($P11="Acquisition/Rehab",$P11="Rehabilitation"),NOT($Q11="Yes")),$E11,0)</f>
        <v>0</v>
      </c>
      <c r="MG11" s="1657">
        <f t="shared" ref="MG11:MG48" si="324">IF(AND($C11=1,$E11&gt;0,OR($O11="Low-Rise Apt",$O11="Low-Rise Elevator",$O11="High-Rise Apt",$O11="High-Rise Elevator",$O11="Row House/TH"),OR($P11="Acquisition/Rehab",$P11="Rehabilitation"),NOT($Q11="Yes")),$E11,0)</f>
        <v>0</v>
      </c>
      <c r="MH11" s="1657">
        <f t="shared" ref="MH11:MH48" si="325">IF(AND($C11=2,$E11&gt;0,OR($O11="Low-Rise Apt",$O11="Low-Rise Elevator",$O11="High-Rise Apt",$O11="High-Rise Elevator",$O11="Row House/TH"),OR($P11="Acquisition/Rehab",$P11="Rehabilitation"),NOT($Q11="Yes")),$E11,0)</f>
        <v>0</v>
      </c>
      <c r="MI11" s="1657">
        <f t="shared" ref="MI11:MI48" si="326">IF(AND($C11=3,$E11&gt;0,OR($O11="Low-Rise Apt",$O11="Low-Rise Elevator",$O11="High-Rise Apt",$O11="High-Rise Elevator",$O11="Row House/TH"),OR($P11="Acquisition/Rehab",$P11="Rehabilitation"),NOT($Q11="Yes")),$E11,0)</f>
        <v>0</v>
      </c>
      <c r="MJ11" s="1657">
        <f t="shared" ref="MJ11:MJ48" si="327">IF(AND($C11=4,$E11&gt;0,OR($O11="Low-Rise Apt",$O11="Low-Rise Elevator",$O11="High-Rise Apt",$O11="High-Rise Elevator",$O11="Row House/TH"),OR($P11="Acquisition/Rehab",$P11="Rehabilitation"),NOT($Q11="Yes")),$E11,0)</f>
        <v>0</v>
      </c>
      <c r="MK11" s="1657">
        <f>IF(AND($C11="Efficiency",$E11&gt;0,OR($O11="Low-Rise Apt",$O11="Low-Rise Elevator",$O11="High-Rise Apt",$O11="High-Rise Elevator",$O11="Row House/TH"),$P11="New Construction"),$E11,0)</f>
        <v>0</v>
      </c>
      <c r="ML11" s="1657">
        <f>IF(AND($C11=1,$E11&gt;0,OR($O11="Low-Rise Apt",$O11="Low-Rise Elevator",$O11="High-Rise Apt",$O11="High-Rise Elevator",$O11="Row House/TH"),$P11="New Construction"),$E11,0)</f>
        <v>0</v>
      </c>
      <c r="MM11" s="1657">
        <f>IF(AND($C11=2,$E11&gt;0,OR($O11="Low-Rise Apt",$O11="Low-Rise Elevator",$O11="High-Rise Apt",$O11="High-Rise Elevator",$O11="Row House/TH"),$P11="New Construction"),$E11,0)</f>
        <v>0</v>
      </c>
      <c r="MN11" s="1657">
        <f>IF(AND($C11=3,$E11&gt;0,OR($O11="Low-Rise Apt",$O11="Low-Rise Elevator",$O11="High-Rise Apt",$O11="High-Rise Elevator",$O11="Row House/TH"),$P11="New Construction"),$E11,0)</f>
        <v>0</v>
      </c>
      <c r="MO11" s="1657">
        <f>IF(AND($C11=4,$E11&gt;0,OR($O11="Low-Rise Apt",$O11="Low-Rise Elevator",$O11="High-Rise Apt",$O11="High-Rise Elevator",$O11="Row House/TH"),$P11="New Construction"),$E11,0)</f>
        <v>0</v>
      </c>
      <c r="MP11" s="1657">
        <f t="shared" ref="MP11:MP48" si="328">IF(AND($C11="Efficiency",$E11&gt;0,OR($O11="SF Detached",$O11="Semi-Detached",$O11="Mfd Home"),NOT($Q11="Yes")),$E11,0)</f>
        <v>0</v>
      </c>
      <c r="MQ11" s="1657">
        <f t="shared" ref="MQ11:MQ48" si="329">IF(AND($C11=1,$E11&gt;0,OR($O11="SF Detached",$O11="Semi-Detached",$O11="Mfd Home"),NOT($Q11="Yes")),$E11,0)</f>
        <v>0</v>
      </c>
      <c r="MR11" s="1657">
        <f t="shared" ref="MR11:MR48" si="330">IF(AND($C11=2,$E11&gt;0,OR($O11="SF Detached",$O11="Semi-Detached",$O11="Mfd Home"),NOT($Q11="Yes")),$E11,0)</f>
        <v>0</v>
      </c>
      <c r="MS11" s="1657">
        <f t="shared" ref="MS11:MS48" si="331">IF(AND($C11=3,$E11&gt;0,OR($O11="SF Detached",$O11="Semi-Detached",$O11="Mfd Home"),NOT($Q11="Yes")),$E11,0)</f>
        <v>0</v>
      </c>
      <c r="MT11" s="1657">
        <f t="shared" ref="MT11:MT48" si="332">IF(AND($C11=4,$E11&gt;0,OR($O11="SF Detached",$O11="Semi-Detached",$O11="Mfd Home"),NOT($Q11="Yes")),$E11,0)</f>
        <v>0</v>
      </c>
      <c r="NP11" s="1630" t="s">
        <v>4304</v>
      </c>
      <c r="NQ11" s="2478">
        <v>11</v>
      </c>
    </row>
    <row r="12" spans="1:493" ht="13.9" customHeight="1">
      <c r="A12" s="86" t="str">
        <f t="shared" si="0"/>
        <v/>
      </c>
      <c r="B12" s="1022" t="s">
        <v>3556</v>
      </c>
      <c r="C12" s="132"/>
      <c r="D12" s="1660"/>
      <c r="E12" s="133"/>
      <c r="F12" s="133"/>
      <c r="G12" s="133"/>
      <c r="H12" s="133"/>
      <c r="I12" s="133"/>
      <c r="J12" s="1366"/>
      <c r="K12" s="632"/>
      <c r="L12" s="460">
        <f t="shared" si="1"/>
        <v>0</v>
      </c>
      <c r="M12" s="460">
        <f t="shared" si="2"/>
        <v>0</v>
      </c>
      <c r="N12" s="683"/>
      <c r="O12" s="1594"/>
      <c r="P12" s="683"/>
      <c r="Q12" s="134"/>
      <c r="R12" s="726"/>
      <c r="S12" s="727"/>
      <c r="T12" s="3453"/>
      <c r="U12" s="3454"/>
      <c r="V12" s="3454"/>
      <c r="W12" s="3455"/>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5" t="str">
        <f t="shared" si="213"/>
        <v/>
      </c>
      <c r="IA12" s="1805" t="str">
        <f t="shared" si="214"/>
        <v/>
      </c>
      <c r="IB12" s="1805" t="str">
        <f t="shared" si="215"/>
        <v/>
      </c>
      <c r="IC12" s="1805" t="str">
        <f t="shared" si="216"/>
        <v/>
      </c>
      <c r="ID12" s="1805" t="str">
        <f t="shared" si="217"/>
        <v/>
      </c>
      <c r="IE12" s="1805" t="str">
        <f t="shared" si="218"/>
        <v/>
      </c>
      <c r="IF12" s="1805" t="str">
        <f t="shared" si="219"/>
        <v/>
      </c>
      <c r="IG12" s="1805" t="str">
        <f t="shared" si="220"/>
        <v/>
      </c>
      <c r="IH12" s="1805" t="str">
        <f t="shared" si="221"/>
        <v/>
      </c>
      <c r="II12" s="1805" t="str">
        <f t="shared" si="222"/>
        <v/>
      </c>
      <c r="IJ12" s="1805" t="str">
        <f t="shared" si="223"/>
        <v/>
      </c>
      <c r="IK12" s="1805" t="str">
        <f t="shared" si="224"/>
        <v/>
      </c>
      <c r="IL12" s="1805" t="str">
        <f t="shared" si="225"/>
        <v/>
      </c>
      <c r="IM12" s="1805" t="str">
        <f t="shared" si="226"/>
        <v/>
      </c>
      <c r="IN12" s="1805" t="str">
        <f t="shared" si="227"/>
        <v/>
      </c>
      <c r="IO12" s="1805" t="str">
        <f t="shared" si="228"/>
        <v/>
      </c>
      <c r="IP12" s="1805" t="str">
        <f t="shared" si="229"/>
        <v/>
      </c>
      <c r="IQ12" s="1805" t="str">
        <f t="shared" si="230"/>
        <v/>
      </c>
      <c r="IR12" s="1805" t="str">
        <f t="shared" si="231"/>
        <v/>
      </c>
      <c r="IS12" s="1805" t="str">
        <f t="shared" si="232"/>
        <v/>
      </c>
      <c r="IT12" s="1805" t="str">
        <f t="shared" si="233"/>
        <v/>
      </c>
      <c r="IU12" s="1805" t="str">
        <f t="shared" si="234"/>
        <v/>
      </c>
      <c r="IV12" s="1805" t="str">
        <f t="shared" si="235"/>
        <v/>
      </c>
      <c r="IW12" s="1805" t="str">
        <f t="shared" si="236"/>
        <v/>
      </c>
      <c r="IX12" s="1805" t="str">
        <f t="shared" si="237"/>
        <v/>
      </c>
      <c r="IY12" s="1805" t="str">
        <f t="shared" si="238"/>
        <v/>
      </c>
      <c r="IZ12" s="1805" t="str">
        <f t="shared" si="239"/>
        <v/>
      </c>
      <c r="JA12" s="1805" t="str">
        <f t="shared" si="240"/>
        <v/>
      </c>
      <c r="JB12" s="1805" t="str">
        <f t="shared" si="241"/>
        <v/>
      </c>
      <c r="JC12" s="1805" t="str">
        <f t="shared" si="242"/>
        <v/>
      </c>
      <c r="JD12" s="1805" t="str">
        <f t="shared" si="243"/>
        <v/>
      </c>
      <c r="JE12" s="1805" t="str">
        <f t="shared" si="244"/>
        <v/>
      </c>
      <c r="JF12" s="1805" t="str">
        <f t="shared" si="245"/>
        <v/>
      </c>
      <c r="JG12" s="1805" t="str">
        <f t="shared" si="246"/>
        <v/>
      </c>
      <c r="JH12" s="1805" t="str">
        <f t="shared" si="247"/>
        <v/>
      </c>
      <c r="JI12" s="1805" t="str">
        <f t="shared" si="248"/>
        <v/>
      </c>
      <c r="JJ12" s="1805" t="str">
        <f t="shared" si="249"/>
        <v/>
      </c>
      <c r="JK12" s="1805" t="str">
        <f t="shared" si="250"/>
        <v/>
      </c>
      <c r="JL12" s="1805" t="str">
        <f t="shared" si="251"/>
        <v/>
      </c>
      <c r="JM12" s="1805" t="str">
        <f t="shared" si="252"/>
        <v/>
      </c>
      <c r="JN12" s="1805" t="str">
        <f t="shared" si="253"/>
        <v/>
      </c>
      <c r="JO12" s="1805" t="str">
        <f t="shared" si="254"/>
        <v/>
      </c>
      <c r="JP12" s="1805" t="str">
        <f t="shared" si="255"/>
        <v/>
      </c>
      <c r="JQ12" s="1805" t="str">
        <f t="shared" si="256"/>
        <v/>
      </c>
      <c r="JR12" s="1805" t="str">
        <f t="shared" si="257"/>
        <v/>
      </c>
      <c r="JS12" s="1805" t="str">
        <f t="shared" si="258"/>
        <v/>
      </c>
      <c r="JT12" s="1805" t="str">
        <f t="shared" si="259"/>
        <v/>
      </c>
      <c r="JU12" s="1805" t="str">
        <f t="shared" si="260"/>
        <v/>
      </c>
      <c r="JV12" s="1805" t="str">
        <f t="shared" si="261"/>
        <v/>
      </c>
      <c r="JW12" s="1805" t="str">
        <f t="shared" si="262"/>
        <v/>
      </c>
      <c r="JX12" s="1805" t="str">
        <f t="shared" si="263"/>
        <v/>
      </c>
      <c r="JY12" s="1805" t="str">
        <f t="shared" si="264"/>
        <v/>
      </c>
      <c r="JZ12" s="1805" t="str">
        <f t="shared" si="265"/>
        <v/>
      </c>
      <c r="KA12" s="1805" t="str">
        <f t="shared" si="266"/>
        <v/>
      </c>
      <c r="KB12" s="1805" t="str">
        <f t="shared" si="267"/>
        <v/>
      </c>
      <c r="KC12" s="1805" t="str">
        <f t="shared" si="268"/>
        <v/>
      </c>
      <c r="KD12" s="1805" t="str">
        <f t="shared" si="269"/>
        <v/>
      </c>
      <c r="KE12" s="1805" t="str">
        <f t="shared" si="270"/>
        <v/>
      </c>
      <c r="KF12" s="1805" t="str">
        <f t="shared" si="271"/>
        <v/>
      </c>
      <c r="KG12" s="1805" t="str">
        <f t="shared" si="272"/>
        <v/>
      </c>
      <c r="KH12" s="1805" t="str">
        <f t="shared" si="273"/>
        <v/>
      </c>
      <c r="KI12" s="1805" t="str">
        <f t="shared" si="274"/>
        <v/>
      </c>
      <c r="KJ12" s="1805" t="str">
        <f t="shared" si="275"/>
        <v/>
      </c>
      <c r="KK12" s="1805" t="str">
        <f t="shared" si="276"/>
        <v/>
      </c>
      <c r="KL12" s="1805" t="str">
        <f t="shared" si="277"/>
        <v/>
      </c>
      <c r="KM12" s="1805" t="str">
        <f t="shared" si="278"/>
        <v/>
      </c>
      <c r="KN12" s="1805" t="str">
        <f t="shared" si="279"/>
        <v/>
      </c>
      <c r="KO12" s="1805" t="str">
        <f t="shared" si="280"/>
        <v/>
      </c>
      <c r="KP12" s="1805" t="str">
        <f t="shared" si="281"/>
        <v/>
      </c>
      <c r="KQ12" s="1805" t="str">
        <f t="shared" si="282"/>
        <v/>
      </c>
      <c r="KR12" s="1805" t="str">
        <f t="shared" si="283"/>
        <v/>
      </c>
      <c r="KS12" s="1805" t="str">
        <f t="shared" si="284"/>
        <v/>
      </c>
      <c r="KT12" s="1805" t="str">
        <f t="shared" si="285"/>
        <v/>
      </c>
      <c r="KU12" s="1805" t="str">
        <f t="shared" si="286"/>
        <v/>
      </c>
      <c r="KV12" s="1805" t="str">
        <f t="shared" si="287"/>
        <v/>
      </c>
      <c r="KW12" s="1805" t="str">
        <f t="shared" si="288"/>
        <v/>
      </c>
      <c r="KX12" s="1805" t="str">
        <f t="shared" si="289"/>
        <v/>
      </c>
      <c r="KY12" s="1805" t="str">
        <f t="shared" si="290"/>
        <v/>
      </c>
      <c r="KZ12" s="1805" t="str">
        <f t="shared" si="291"/>
        <v/>
      </c>
      <c r="LA12" s="1805" t="str">
        <f t="shared" si="292"/>
        <v/>
      </c>
      <c r="LB12" s="1805" t="str">
        <f t="shared" si="293"/>
        <v/>
      </c>
      <c r="LC12" s="1805" t="str">
        <f t="shared" si="294"/>
        <v/>
      </c>
      <c r="LD12" s="1805" t="str">
        <f t="shared" si="295"/>
        <v/>
      </c>
      <c r="LE12" s="1805" t="str">
        <f t="shared" si="296"/>
        <v/>
      </c>
      <c r="LF12" s="1805" t="str">
        <f t="shared" si="297"/>
        <v/>
      </c>
      <c r="LG12" s="1794" t="str">
        <f t="shared" si="298"/>
        <v/>
      </c>
      <c r="LH12" s="1794" t="str">
        <f t="shared" si="299"/>
        <v/>
      </c>
      <c r="LI12" s="1794" t="str">
        <f t="shared" si="300"/>
        <v/>
      </c>
      <c r="LJ12" s="1794" t="str">
        <f t="shared" si="301"/>
        <v/>
      </c>
      <c r="LK12" s="1794"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7">
        <f t="shared" si="323"/>
        <v>0</v>
      </c>
      <c r="MG12" s="1657">
        <f t="shared" si="324"/>
        <v>0</v>
      </c>
      <c r="MH12" s="1657">
        <f t="shared" si="325"/>
        <v>0</v>
      </c>
      <c r="MI12" s="1657">
        <f t="shared" si="326"/>
        <v>0</v>
      </c>
      <c r="MJ12" s="1657">
        <f t="shared" si="327"/>
        <v>0</v>
      </c>
      <c r="MK12" s="1657">
        <f t="shared" ref="MK12:MK48" si="333">IF(AND($C12="Efficiency",$E12&gt;0,OR($O12="Low-Rise Apt",$O12="Low-Rise Elevator",$O12="High-Rise Apt",$O12="High-Rise Elevator",$O12="Row House/TH"),$P12="New Construction"),$E12,0)</f>
        <v>0</v>
      </c>
      <c r="ML12" s="1657">
        <f t="shared" ref="ML12:ML48" si="334">IF(AND($C12=1,$E12&gt;0,OR($O12="Low-Rise Apt",$O12="Low-Rise Elevator",$O12="High-Rise Apt",$O12="High-Rise Elevator",$O12="Row House/TH"),$P12="New Construction"),$E12,0)</f>
        <v>0</v>
      </c>
      <c r="MM12" s="1657">
        <f t="shared" ref="MM12:MM48" si="335">IF(AND($C12=2,$E12&gt;0,OR($O12="Low-Rise Apt",$O12="Low-Rise Elevator",$O12="High-Rise Apt",$O12="High-Rise Elevator",$O12="Row House/TH"),$P12="New Construction"),$E12,0)</f>
        <v>0</v>
      </c>
      <c r="MN12" s="1657">
        <f t="shared" ref="MN12:MN48" si="336">IF(AND($C12=3,$E12&gt;0,OR($O12="Low-Rise Apt",$O12="Low-Rise Elevator",$O12="High-Rise Apt",$O12="High-Rise Elevator",$O12="Row House/TH"),$P12="New Construction"),$E12,0)</f>
        <v>0</v>
      </c>
      <c r="MO12" s="1657">
        <f t="shared" ref="MO12:MO48" si="337">IF(AND($C12=4,$E12&gt;0,OR($O12="Low-Rise Apt",$O12="Low-Rise Elevator",$O12="High-Rise Apt",$O12="High-Rise Elevator",$O12="Row House/TH"),$P12="New Construction"),$E12,0)</f>
        <v>0</v>
      </c>
      <c r="MP12" s="1657">
        <f t="shared" si="328"/>
        <v>0</v>
      </c>
      <c r="MQ12" s="1657">
        <f t="shared" si="329"/>
        <v>0</v>
      </c>
      <c r="MR12" s="1657">
        <f t="shared" si="330"/>
        <v>0</v>
      </c>
      <c r="MS12" s="1657">
        <f t="shared" si="331"/>
        <v>0</v>
      </c>
      <c r="MT12" s="1657">
        <f t="shared" si="332"/>
        <v>0</v>
      </c>
      <c r="NP12" s="1630" t="s">
        <v>4305</v>
      </c>
      <c r="NQ12" s="2480">
        <v>12</v>
      </c>
    </row>
    <row r="13" spans="1:493" ht="13.9" customHeight="1">
      <c r="A13" s="86">
        <f t="shared" si="0"/>
        <v>1</v>
      </c>
      <c r="B13" s="1022" t="s">
        <v>290</v>
      </c>
      <c r="C13" s="132">
        <v>1</v>
      </c>
      <c r="D13" s="1660">
        <v>1</v>
      </c>
      <c r="E13" s="133">
        <v>4</v>
      </c>
      <c r="F13" s="133">
        <v>700</v>
      </c>
      <c r="G13" s="133"/>
      <c r="H13" s="133">
        <v>1250</v>
      </c>
      <c r="I13" s="133"/>
      <c r="J13" s="1366"/>
      <c r="K13" s="632"/>
      <c r="L13" s="460">
        <f t="shared" si="1"/>
        <v>1250</v>
      </c>
      <c r="M13" s="460">
        <f t="shared" si="2"/>
        <v>5000</v>
      </c>
      <c r="N13" s="683"/>
      <c r="O13" s="1594" t="s">
        <v>5146</v>
      </c>
      <c r="P13" s="683" t="s">
        <v>2114</v>
      </c>
      <c r="Q13" s="134" t="s">
        <v>2644</v>
      </c>
      <c r="R13" s="726"/>
      <c r="S13" s="727"/>
      <c r="T13" s="3453"/>
      <c r="U13" s="3454"/>
      <c r="V13" s="3454"/>
      <c r="W13" s="3455"/>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4</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2800</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f t="shared" si="174"/>
        <v>4</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5" t="str">
        <f t="shared" si="213"/>
        <v/>
      </c>
      <c r="IA13" s="1805">
        <f t="shared" si="214"/>
        <v>4</v>
      </c>
      <c r="IB13" s="1805" t="str">
        <f t="shared" si="215"/>
        <v/>
      </c>
      <c r="IC13" s="1805" t="str">
        <f t="shared" si="216"/>
        <v/>
      </c>
      <c r="ID13" s="1805" t="str">
        <f t="shared" si="217"/>
        <v/>
      </c>
      <c r="IE13" s="1805" t="str">
        <f t="shared" si="218"/>
        <v/>
      </c>
      <c r="IF13" s="1805" t="str">
        <f t="shared" si="219"/>
        <v/>
      </c>
      <c r="IG13" s="1805" t="str">
        <f t="shared" si="220"/>
        <v/>
      </c>
      <c r="IH13" s="1805" t="str">
        <f t="shared" si="221"/>
        <v/>
      </c>
      <c r="II13" s="1805" t="str">
        <f t="shared" si="222"/>
        <v/>
      </c>
      <c r="IJ13" s="1805" t="str">
        <f t="shared" si="223"/>
        <v/>
      </c>
      <c r="IK13" s="1805" t="str">
        <f t="shared" si="224"/>
        <v/>
      </c>
      <c r="IL13" s="1805" t="str">
        <f t="shared" si="225"/>
        <v/>
      </c>
      <c r="IM13" s="1805" t="str">
        <f t="shared" si="226"/>
        <v/>
      </c>
      <c r="IN13" s="1805" t="str">
        <f t="shared" si="227"/>
        <v/>
      </c>
      <c r="IO13" s="1805" t="str">
        <f t="shared" si="228"/>
        <v/>
      </c>
      <c r="IP13" s="1805" t="str">
        <f t="shared" si="229"/>
        <v/>
      </c>
      <c r="IQ13" s="1805" t="str">
        <f t="shared" si="230"/>
        <v/>
      </c>
      <c r="IR13" s="1805" t="str">
        <f t="shared" si="231"/>
        <v/>
      </c>
      <c r="IS13" s="1805" t="str">
        <f t="shared" si="232"/>
        <v/>
      </c>
      <c r="IT13" s="1805" t="str">
        <f t="shared" si="233"/>
        <v/>
      </c>
      <c r="IU13" s="1805" t="str">
        <f t="shared" si="234"/>
        <v/>
      </c>
      <c r="IV13" s="1805" t="str">
        <f t="shared" si="235"/>
        <v/>
      </c>
      <c r="IW13" s="1805" t="str">
        <f t="shared" si="236"/>
        <v/>
      </c>
      <c r="IX13" s="1805" t="str">
        <f t="shared" si="237"/>
        <v/>
      </c>
      <c r="IY13" s="1805" t="str">
        <f t="shared" si="238"/>
        <v/>
      </c>
      <c r="IZ13" s="1805" t="str">
        <f t="shared" si="239"/>
        <v/>
      </c>
      <c r="JA13" s="1805" t="str">
        <f t="shared" si="240"/>
        <v/>
      </c>
      <c r="JB13" s="1805" t="str">
        <f t="shared" si="241"/>
        <v/>
      </c>
      <c r="JC13" s="1805" t="str">
        <f t="shared" si="242"/>
        <v/>
      </c>
      <c r="JD13" s="1805" t="str">
        <f t="shared" si="243"/>
        <v/>
      </c>
      <c r="JE13" s="1805" t="str">
        <f t="shared" si="244"/>
        <v/>
      </c>
      <c r="JF13" s="1805" t="str">
        <f t="shared" si="245"/>
        <v/>
      </c>
      <c r="JG13" s="1805" t="str">
        <f t="shared" si="246"/>
        <v/>
      </c>
      <c r="JH13" s="1805" t="str">
        <f t="shared" si="247"/>
        <v/>
      </c>
      <c r="JI13" s="1805" t="str">
        <f t="shared" si="248"/>
        <v/>
      </c>
      <c r="JJ13" s="1805" t="str">
        <f t="shared" si="249"/>
        <v/>
      </c>
      <c r="JK13" s="1805" t="str">
        <f t="shared" si="250"/>
        <v/>
      </c>
      <c r="JL13" s="1805" t="str">
        <f t="shared" si="251"/>
        <v/>
      </c>
      <c r="JM13" s="1805" t="str">
        <f t="shared" si="252"/>
        <v/>
      </c>
      <c r="JN13" s="1805" t="str">
        <f t="shared" si="253"/>
        <v/>
      </c>
      <c r="JO13" s="1805" t="str">
        <f t="shared" si="254"/>
        <v/>
      </c>
      <c r="JP13" s="1805" t="str">
        <f t="shared" si="255"/>
        <v/>
      </c>
      <c r="JQ13" s="1805" t="str">
        <f t="shared" si="256"/>
        <v/>
      </c>
      <c r="JR13" s="1805" t="str">
        <f t="shared" si="257"/>
        <v/>
      </c>
      <c r="JS13" s="1805" t="str">
        <f t="shared" si="258"/>
        <v/>
      </c>
      <c r="JT13" s="1805" t="str">
        <f t="shared" si="259"/>
        <v/>
      </c>
      <c r="JU13" s="1805" t="str">
        <f t="shared" si="260"/>
        <v/>
      </c>
      <c r="JV13" s="1805" t="str">
        <f t="shared" si="261"/>
        <v/>
      </c>
      <c r="JW13" s="1805" t="str">
        <f t="shared" si="262"/>
        <v/>
      </c>
      <c r="JX13" s="1805" t="str">
        <f t="shared" si="263"/>
        <v/>
      </c>
      <c r="JY13" s="1805" t="str">
        <f t="shared" si="264"/>
        <v/>
      </c>
      <c r="JZ13" s="1805" t="str">
        <f t="shared" si="265"/>
        <v/>
      </c>
      <c r="KA13" s="1805" t="str">
        <f t="shared" si="266"/>
        <v/>
      </c>
      <c r="KB13" s="1805" t="str">
        <f t="shared" si="267"/>
        <v/>
      </c>
      <c r="KC13" s="1805" t="str">
        <f t="shared" si="268"/>
        <v/>
      </c>
      <c r="KD13" s="1805" t="str">
        <f t="shared" si="269"/>
        <v/>
      </c>
      <c r="KE13" s="1805" t="str">
        <f t="shared" si="270"/>
        <v/>
      </c>
      <c r="KF13" s="1805" t="str">
        <f t="shared" si="271"/>
        <v/>
      </c>
      <c r="KG13" s="1805" t="str">
        <f t="shared" si="272"/>
        <v/>
      </c>
      <c r="KH13" s="1805" t="str">
        <f t="shared" si="273"/>
        <v/>
      </c>
      <c r="KI13" s="1805" t="str">
        <f t="shared" si="274"/>
        <v/>
      </c>
      <c r="KJ13" s="1805" t="str">
        <f t="shared" si="275"/>
        <v/>
      </c>
      <c r="KK13" s="1805" t="str">
        <f t="shared" si="276"/>
        <v/>
      </c>
      <c r="KL13" s="1805" t="str">
        <f t="shared" si="277"/>
        <v/>
      </c>
      <c r="KM13" s="1805" t="str">
        <f t="shared" si="278"/>
        <v/>
      </c>
      <c r="KN13" s="1805" t="str">
        <f t="shared" si="279"/>
        <v/>
      </c>
      <c r="KO13" s="1805" t="str">
        <f t="shared" si="280"/>
        <v/>
      </c>
      <c r="KP13" s="1805" t="str">
        <f t="shared" si="281"/>
        <v/>
      </c>
      <c r="KQ13" s="1805" t="str">
        <f t="shared" si="282"/>
        <v/>
      </c>
      <c r="KR13" s="1805" t="str">
        <f t="shared" si="283"/>
        <v/>
      </c>
      <c r="KS13" s="1805">
        <f t="shared" si="284"/>
        <v>4</v>
      </c>
      <c r="KT13" s="1805" t="str">
        <f t="shared" si="285"/>
        <v/>
      </c>
      <c r="KU13" s="1805" t="str">
        <f t="shared" si="286"/>
        <v/>
      </c>
      <c r="KV13" s="1805" t="str">
        <f t="shared" si="287"/>
        <v/>
      </c>
      <c r="KW13" s="1805" t="str">
        <f t="shared" si="288"/>
        <v/>
      </c>
      <c r="KX13" s="1805" t="str">
        <f t="shared" si="289"/>
        <v/>
      </c>
      <c r="KY13" s="1805" t="str">
        <f t="shared" si="290"/>
        <v/>
      </c>
      <c r="KZ13" s="1805" t="str">
        <f t="shared" si="291"/>
        <v/>
      </c>
      <c r="LA13" s="1805" t="str">
        <f t="shared" si="292"/>
        <v/>
      </c>
      <c r="LB13" s="1805" t="str">
        <f t="shared" si="293"/>
        <v/>
      </c>
      <c r="LC13" s="1805" t="str">
        <f t="shared" si="294"/>
        <v/>
      </c>
      <c r="LD13" s="1805" t="str">
        <f t="shared" si="295"/>
        <v/>
      </c>
      <c r="LE13" s="1805" t="str">
        <f t="shared" si="296"/>
        <v/>
      </c>
      <c r="LF13" s="1805" t="str">
        <f t="shared" si="297"/>
        <v/>
      </c>
      <c r="LG13" s="1794" t="str">
        <f t="shared" si="298"/>
        <v/>
      </c>
      <c r="LH13" s="1794" t="str">
        <f t="shared" si="299"/>
        <v/>
      </c>
      <c r="LI13" s="1794" t="str">
        <f t="shared" si="300"/>
        <v/>
      </c>
      <c r="LJ13" s="1794" t="str">
        <f t="shared" si="301"/>
        <v/>
      </c>
      <c r="LK13" s="1794"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7">
        <f t="shared" si="323"/>
        <v>0</v>
      </c>
      <c r="MG13" s="1657">
        <f t="shared" si="324"/>
        <v>0</v>
      </c>
      <c r="MH13" s="1657">
        <f t="shared" si="325"/>
        <v>0</v>
      </c>
      <c r="MI13" s="1657">
        <f t="shared" si="326"/>
        <v>0</v>
      </c>
      <c r="MJ13" s="1657">
        <f t="shared" si="327"/>
        <v>0</v>
      </c>
      <c r="MK13" s="1657">
        <f t="shared" si="333"/>
        <v>0</v>
      </c>
      <c r="ML13" s="1657">
        <f t="shared" si="334"/>
        <v>4</v>
      </c>
      <c r="MM13" s="1657">
        <f t="shared" si="335"/>
        <v>0</v>
      </c>
      <c r="MN13" s="1657">
        <f t="shared" si="336"/>
        <v>0</v>
      </c>
      <c r="MO13" s="1657">
        <f t="shared" si="337"/>
        <v>0</v>
      </c>
      <c r="MP13" s="1657">
        <f t="shared" si="328"/>
        <v>0</v>
      </c>
      <c r="MQ13" s="1657">
        <f t="shared" si="329"/>
        <v>0</v>
      </c>
      <c r="MR13" s="1657">
        <f t="shared" si="330"/>
        <v>0</v>
      </c>
      <c r="MS13" s="1657">
        <f t="shared" si="331"/>
        <v>0</v>
      </c>
      <c r="MT13" s="1657">
        <f t="shared" si="332"/>
        <v>0</v>
      </c>
      <c r="NP13" s="1630" t="s">
        <v>4306</v>
      </c>
      <c r="NQ13" s="2480">
        <v>13</v>
      </c>
    </row>
    <row r="14" spans="1:493" ht="13.9" customHeight="1">
      <c r="A14" s="86">
        <f t="shared" si="0"/>
        <v>1</v>
      </c>
      <c r="B14" s="1022" t="s">
        <v>290</v>
      </c>
      <c r="C14" s="132">
        <v>2</v>
      </c>
      <c r="D14" s="1660">
        <v>2</v>
      </c>
      <c r="E14" s="133">
        <v>8</v>
      </c>
      <c r="F14" s="133">
        <v>900</v>
      </c>
      <c r="G14" s="133"/>
      <c r="H14" s="133">
        <v>1450</v>
      </c>
      <c r="I14" s="133"/>
      <c r="J14" s="1366"/>
      <c r="K14" s="632"/>
      <c r="L14" s="460">
        <f t="shared" si="1"/>
        <v>1450</v>
      </c>
      <c r="M14" s="460">
        <f t="shared" si="2"/>
        <v>11600</v>
      </c>
      <c r="N14" s="683"/>
      <c r="O14" s="1594" t="s">
        <v>5146</v>
      </c>
      <c r="P14" s="683" t="s">
        <v>2114</v>
      </c>
      <c r="Q14" s="134" t="s">
        <v>2644</v>
      </c>
      <c r="R14" s="726"/>
      <c r="S14" s="727"/>
      <c r="T14" s="3453"/>
      <c r="U14" s="3454"/>
      <c r="V14" s="3454"/>
      <c r="W14" s="3455"/>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8</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7200</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f t="shared" si="175"/>
        <v>8</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5" t="str">
        <f t="shared" si="213"/>
        <v/>
      </c>
      <c r="IA14" s="1805" t="str">
        <f t="shared" si="214"/>
        <v/>
      </c>
      <c r="IB14" s="1805">
        <f t="shared" si="215"/>
        <v>8</v>
      </c>
      <c r="IC14" s="1805" t="str">
        <f t="shared" si="216"/>
        <v/>
      </c>
      <c r="ID14" s="1805" t="str">
        <f t="shared" si="217"/>
        <v/>
      </c>
      <c r="IE14" s="1805" t="str">
        <f t="shared" si="218"/>
        <v/>
      </c>
      <c r="IF14" s="1805" t="str">
        <f t="shared" si="219"/>
        <v/>
      </c>
      <c r="IG14" s="1805" t="str">
        <f t="shared" si="220"/>
        <v/>
      </c>
      <c r="IH14" s="1805" t="str">
        <f t="shared" si="221"/>
        <v/>
      </c>
      <c r="II14" s="1805" t="str">
        <f t="shared" si="222"/>
        <v/>
      </c>
      <c r="IJ14" s="1805" t="str">
        <f t="shared" si="223"/>
        <v/>
      </c>
      <c r="IK14" s="1805" t="str">
        <f t="shared" si="224"/>
        <v/>
      </c>
      <c r="IL14" s="1805" t="str">
        <f t="shared" si="225"/>
        <v/>
      </c>
      <c r="IM14" s="1805" t="str">
        <f t="shared" si="226"/>
        <v/>
      </c>
      <c r="IN14" s="1805" t="str">
        <f t="shared" si="227"/>
        <v/>
      </c>
      <c r="IO14" s="1805" t="str">
        <f t="shared" si="228"/>
        <v/>
      </c>
      <c r="IP14" s="1805" t="str">
        <f t="shared" si="229"/>
        <v/>
      </c>
      <c r="IQ14" s="1805" t="str">
        <f t="shared" si="230"/>
        <v/>
      </c>
      <c r="IR14" s="1805" t="str">
        <f t="shared" si="231"/>
        <v/>
      </c>
      <c r="IS14" s="1805" t="str">
        <f t="shared" si="232"/>
        <v/>
      </c>
      <c r="IT14" s="1805" t="str">
        <f t="shared" si="233"/>
        <v/>
      </c>
      <c r="IU14" s="1805" t="str">
        <f t="shared" si="234"/>
        <v/>
      </c>
      <c r="IV14" s="1805" t="str">
        <f t="shared" si="235"/>
        <v/>
      </c>
      <c r="IW14" s="1805" t="str">
        <f t="shared" si="236"/>
        <v/>
      </c>
      <c r="IX14" s="1805" t="str">
        <f t="shared" si="237"/>
        <v/>
      </c>
      <c r="IY14" s="1805" t="str">
        <f t="shared" si="238"/>
        <v/>
      </c>
      <c r="IZ14" s="1805" t="str">
        <f t="shared" si="239"/>
        <v/>
      </c>
      <c r="JA14" s="1805" t="str">
        <f t="shared" si="240"/>
        <v/>
      </c>
      <c r="JB14" s="1805" t="str">
        <f t="shared" si="241"/>
        <v/>
      </c>
      <c r="JC14" s="1805" t="str">
        <f t="shared" si="242"/>
        <v/>
      </c>
      <c r="JD14" s="1805" t="str">
        <f t="shared" si="243"/>
        <v/>
      </c>
      <c r="JE14" s="1805" t="str">
        <f t="shared" si="244"/>
        <v/>
      </c>
      <c r="JF14" s="1805" t="str">
        <f t="shared" si="245"/>
        <v/>
      </c>
      <c r="JG14" s="1805" t="str">
        <f t="shared" si="246"/>
        <v/>
      </c>
      <c r="JH14" s="1805" t="str">
        <f t="shared" si="247"/>
        <v/>
      </c>
      <c r="JI14" s="1805" t="str">
        <f t="shared" si="248"/>
        <v/>
      </c>
      <c r="JJ14" s="1805" t="str">
        <f t="shared" si="249"/>
        <v/>
      </c>
      <c r="JK14" s="1805" t="str">
        <f t="shared" si="250"/>
        <v/>
      </c>
      <c r="JL14" s="1805" t="str">
        <f t="shared" si="251"/>
        <v/>
      </c>
      <c r="JM14" s="1805" t="str">
        <f t="shared" si="252"/>
        <v/>
      </c>
      <c r="JN14" s="1805" t="str">
        <f t="shared" si="253"/>
        <v/>
      </c>
      <c r="JO14" s="1805" t="str">
        <f t="shared" si="254"/>
        <v/>
      </c>
      <c r="JP14" s="1805" t="str">
        <f t="shared" si="255"/>
        <v/>
      </c>
      <c r="JQ14" s="1805" t="str">
        <f t="shared" si="256"/>
        <v/>
      </c>
      <c r="JR14" s="1805" t="str">
        <f t="shared" si="257"/>
        <v/>
      </c>
      <c r="JS14" s="1805" t="str">
        <f t="shared" si="258"/>
        <v/>
      </c>
      <c r="JT14" s="1805" t="str">
        <f t="shared" si="259"/>
        <v/>
      </c>
      <c r="JU14" s="1805" t="str">
        <f t="shared" si="260"/>
        <v/>
      </c>
      <c r="JV14" s="1805" t="str">
        <f t="shared" si="261"/>
        <v/>
      </c>
      <c r="JW14" s="1805" t="str">
        <f t="shared" si="262"/>
        <v/>
      </c>
      <c r="JX14" s="1805" t="str">
        <f t="shared" si="263"/>
        <v/>
      </c>
      <c r="JY14" s="1805" t="str">
        <f t="shared" si="264"/>
        <v/>
      </c>
      <c r="JZ14" s="1805" t="str">
        <f t="shared" si="265"/>
        <v/>
      </c>
      <c r="KA14" s="1805" t="str">
        <f t="shared" si="266"/>
        <v/>
      </c>
      <c r="KB14" s="1805" t="str">
        <f t="shared" si="267"/>
        <v/>
      </c>
      <c r="KC14" s="1805" t="str">
        <f t="shared" si="268"/>
        <v/>
      </c>
      <c r="KD14" s="1805" t="str">
        <f t="shared" si="269"/>
        <v/>
      </c>
      <c r="KE14" s="1805" t="str">
        <f t="shared" si="270"/>
        <v/>
      </c>
      <c r="KF14" s="1805" t="str">
        <f t="shared" si="271"/>
        <v/>
      </c>
      <c r="KG14" s="1805" t="str">
        <f t="shared" si="272"/>
        <v/>
      </c>
      <c r="KH14" s="1805" t="str">
        <f t="shared" si="273"/>
        <v/>
      </c>
      <c r="KI14" s="1805" t="str">
        <f t="shared" si="274"/>
        <v/>
      </c>
      <c r="KJ14" s="1805" t="str">
        <f t="shared" si="275"/>
        <v/>
      </c>
      <c r="KK14" s="1805" t="str">
        <f t="shared" si="276"/>
        <v/>
      </c>
      <c r="KL14" s="1805" t="str">
        <f t="shared" si="277"/>
        <v/>
      </c>
      <c r="KM14" s="1805" t="str">
        <f t="shared" si="278"/>
        <v/>
      </c>
      <c r="KN14" s="1805" t="str">
        <f t="shared" si="279"/>
        <v/>
      </c>
      <c r="KO14" s="1805" t="str">
        <f t="shared" si="280"/>
        <v/>
      </c>
      <c r="KP14" s="1805" t="str">
        <f t="shared" si="281"/>
        <v/>
      </c>
      <c r="KQ14" s="1805" t="str">
        <f t="shared" si="282"/>
        <v/>
      </c>
      <c r="KR14" s="1805" t="str">
        <f t="shared" si="283"/>
        <v/>
      </c>
      <c r="KS14" s="1805" t="str">
        <f t="shared" si="284"/>
        <v/>
      </c>
      <c r="KT14" s="1805">
        <f t="shared" si="285"/>
        <v>8</v>
      </c>
      <c r="KU14" s="1805" t="str">
        <f t="shared" si="286"/>
        <v/>
      </c>
      <c r="KV14" s="1805" t="str">
        <f t="shared" si="287"/>
        <v/>
      </c>
      <c r="KW14" s="1805" t="str">
        <f t="shared" si="288"/>
        <v/>
      </c>
      <c r="KX14" s="1805" t="str">
        <f t="shared" si="289"/>
        <v/>
      </c>
      <c r="KY14" s="1805" t="str">
        <f t="shared" si="290"/>
        <v/>
      </c>
      <c r="KZ14" s="1805" t="str">
        <f t="shared" si="291"/>
        <v/>
      </c>
      <c r="LA14" s="1805" t="str">
        <f t="shared" si="292"/>
        <v/>
      </c>
      <c r="LB14" s="1805" t="str">
        <f t="shared" si="293"/>
        <v/>
      </c>
      <c r="LC14" s="1805" t="str">
        <f t="shared" si="294"/>
        <v/>
      </c>
      <c r="LD14" s="1805" t="str">
        <f t="shared" si="295"/>
        <v/>
      </c>
      <c r="LE14" s="1805" t="str">
        <f t="shared" si="296"/>
        <v/>
      </c>
      <c r="LF14" s="1805" t="str">
        <f t="shared" si="297"/>
        <v/>
      </c>
      <c r="LG14" s="1794" t="str">
        <f t="shared" si="298"/>
        <v/>
      </c>
      <c r="LH14" s="1794" t="str">
        <f t="shared" si="299"/>
        <v/>
      </c>
      <c r="LI14" s="1794" t="str">
        <f t="shared" si="300"/>
        <v/>
      </c>
      <c r="LJ14" s="1794" t="str">
        <f t="shared" si="301"/>
        <v/>
      </c>
      <c r="LK14" s="1794"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7">
        <f t="shared" si="323"/>
        <v>0</v>
      </c>
      <c r="MG14" s="1657">
        <f t="shared" si="324"/>
        <v>0</v>
      </c>
      <c r="MH14" s="1657">
        <f t="shared" si="325"/>
        <v>0</v>
      </c>
      <c r="MI14" s="1657">
        <f t="shared" si="326"/>
        <v>0</v>
      </c>
      <c r="MJ14" s="1657">
        <f t="shared" si="327"/>
        <v>0</v>
      </c>
      <c r="MK14" s="1657">
        <f t="shared" si="333"/>
        <v>0</v>
      </c>
      <c r="ML14" s="1657">
        <f t="shared" si="334"/>
        <v>0</v>
      </c>
      <c r="MM14" s="1657">
        <f t="shared" si="335"/>
        <v>8</v>
      </c>
      <c r="MN14" s="1657">
        <f t="shared" si="336"/>
        <v>0</v>
      </c>
      <c r="MO14" s="1657">
        <f t="shared" si="337"/>
        <v>0</v>
      </c>
      <c r="MP14" s="1657">
        <f t="shared" si="328"/>
        <v>0</v>
      </c>
      <c r="MQ14" s="1657">
        <f t="shared" si="329"/>
        <v>0</v>
      </c>
      <c r="MR14" s="1657">
        <f t="shared" si="330"/>
        <v>0</v>
      </c>
      <c r="MS14" s="1657">
        <f t="shared" si="331"/>
        <v>0</v>
      </c>
      <c r="MT14" s="1657">
        <f t="shared" si="332"/>
        <v>0</v>
      </c>
      <c r="NP14" s="1630" t="s">
        <v>4307</v>
      </c>
      <c r="NQ14" s="2478">
        <v>14</v>
      </c>
    </row>
    <row r="15" spans="1:493" ht="13.9" customHeight="1">
      <c r="A15" s="86">
        <f t="shared" si="0"/>
        <v>1</v>
      </c>
      <c r="B15" s="1022" t="s">
        <v>290</v>
      </c>
      <c r="C15" s="132">
        <v>3</v>
      </c>
      <c r="D15" s="1660">
        <v>2</v>
      </c>
      <c r="E15" s="133">
        <v>8</v>
      </c>
      <c r="F15" s="133">
        <v>1200</v>
      </c>
      <c r="G15" s="133"/>
      <c r="H15" s="133">
        <v>1600</v>
      </c>
      <c r="I15" s="133"/>
      <c r="J15" s="1366"/>
      <c r="K15" s="632"/>
      <c r="L15" s="460">
        <f t="shared" si="1"/>
        <v>1600</v>
      </c>
      <c r="M15" s="460">
        <f t="shared" si="2"/>
        <v>12800</v>
      </c>
      <c r="N15" s="683"/>
      <c r="O15" s="1594" t="s">
        <v>5146</v>
      </c>
      <c r="P15" s="683" t="s">
        <v>2114</v>
      </c>
      <c r="Q15" s="134" t="s">
        <v>2644</v>
      </c>
      <c r="R15" s="726"/>
      <c r="S15" s="727"/>
      <c r="T15" s="3453"/>
      <c r="U15" s="3454"/>
      <c r="V15" s="3454"/>
      <c r="W15" s="3455"/>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f t="shared" si="41"/>
        <v>8</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f t="shared" si="156"/>
        <v>9600</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f t="shared" si="176"/>
        <v>8</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5" t="str">
        <f t="shared" si="213"/>
        <v/>
      </c>
      <c r="IA15" s="1805" t="str">
        <f t="shared" si="214"/>
        <v/>
      </c>
      <c r="IB15" s="1805" t="str">
        <f t="shared" si="215"/>
        <v/>
      </c>
      <c r="IC15" s="1805">
        <f t="shared" si="216"/>
        <v>8</v>
      </c>
      <c r="ID15" s="1805" t="str">
        <f t="shared" si="217"/>
        <v/>
      </c>
      <c r="IE15" s="1805" t="str">
        <f t="shared" si="218"/>
        <v/>
      </c>
      <c r="IF15" s="1805" t="str">
        <f t="shared" si="219"/>
        <v/>
      </c>
      <c r="IG15" s="1805" t="str">
        <f t="shared" si="220"/>
        <v/>
      </c>
      <c r="IH15" s="1805" t="str">
        <f t="shared" si="221"/>
        <v/>
      </c>
      <c r="II15" s="1805" t="str">
        <f t="shared" si="222"/>
        <v/>
      </c>
      <c r="IJ15" s="1805" t="str">
        <f t="shared" si="223"/>
        <v/>
      </c>
      <c r="IK15" s="1805" t="str">
        <f t="shared" si="224"/>
        <v/>
      </c>
      <c r="IL15" s="1805" t="str">
        <f t="shared" si="225"/>
        <v/>
      </c>
      <c r="IM15" s="1805" t="str">
        <f t="shared" si="226"/>
        <v/>
      </c>
      <c r="IN15" s="1805" t="str">
        <f t="shared" si="227"/>
        <v/>
      </c>
      <c r="IO15" s="1805" t="str">
        <f t="shared" si="228"/>
        <v/>
      </c>
      <c r="IP15" s="1805" t="str">
        <f t="shared" si="229"/>
        <v/>
      </c>
      <c r="IQ15" s="1805" t="str">
        <f t="shared" si="230"/>
        <v/>
      </c>
      <c r="IR15" s="1805" t="str">
        <f t="shared" si="231"/>
        <v/>
      </c>
      <c r="IS15" s="1805" t="str">
        <f t="shared" si="232"/>
        <v/>
      </c>
      <c r="IT15" s="1805" t="str">
        <f t="shared" si="233"/>
        <v/>
      </c>
      <c r="IU15" s="1805" t="str">
        <f t="shared" si="234"/>
        <v/>
      </c>
      <c r="IV15" s="1805" t="str">
        <f t="shared" si="235"/>
        <v/>
      </c>
      <c r="IW15" s="1805" t="str">
        <f t="shared" si="236"/>
        <v/>
      </c>
      <c r="IX15" s="1805" t="str">
        <f t="shared" si="237"/>
        <v/>
      </c>
      <c r="IY15" s="1805" t="str">
        <f t="shared" si="238"/>
        <v/>
      </c>
      <c r="IZ15" s="1805" t="str">
        <f t="shared" si="239"/>
        <v/>
      </c>
      <c r="JA15" s="1805" t="str">
        <f t="shared" si="240"/>
        <v/>
      </c>
      <c r="JB15" s="1805" t="str">
        <f t="shared" si="241"/>
        <v/>
      </c>
      <c r="JC15" s="1805" t="str">
        <f t="shared" si="242"/>
        <v/>
      </c>
      <c r="JD15" s="1805" t="str">
        <f t="shared" si="243"/>
        <v/>
      </c>
      <c r="JE15" s="1805" t="str">
        <f t="shared" si="244"/>
        <v/>
      </c>
      <c r="JF15" s="1805" t="str">
        <f t="shared" si="245"/>
        <v/>
      </c>
      <c r="JG15" s="1805" t="str">
        <f t="shared" si="246"/>
        <v/>
      </c>
      <c r="JH15" s="1805" t="str">
        <f t="shared" si="247"/>
        <v/>
      </c>
      <c r="JI15" s="1805" t="str">
        <f t="shared" si="248"/>
        <v/>
      </c>
      <c r="JJ15" s="1805" t="str">
        <f t="shared" si="249"/>
        <v/>
      </c>
      <c r="JK15" s="1805" t="str">
        <f t="shared" si="250"/>
        <v/>
      </c>
      <c r="JL15" s="1805" t="str">
        <f t="shared" si="251"/>
        <v/>
      </c>
      <c r="JM15" s="1805" t="str">
        <f t="shared" si="252"/>
        <v/>
      </c>
      <c r="JN15" s="1805" t="str">
        <f t="shared" si="253"/>
        <v/>
      </c>
      <c r="JO15" s="1805" t="str">
        <f t="shared" si="254"/>
        <v/>
      </c>
      <c r="JP15" s="1805" t="str">
        <f t="shared" si="255"/>
        <v/>
      </c>
      <c r="JQ15" s="1805" t="str">
        <f t="shared" si="256"/>
        <v/>
      </c>
      <c r="JR15" s="1805" t="str">
        <f t="shared" si="257"/>
        <v/>
      </c>
      <c r="JS15" s="1805" t="str">
        <f t="shared" si="258"/>
        <v/>
      </c>
      <c r="JT15" s="1805" t="str">
        <f t="shared" si="259"/>
        <v/>
      </c>
      <c r="JU15" s="1805" t="str">
        <f t="shared" si="260"/>
        <v/>
      </c>
      <c r="JV15" s="1805" t="str">
        <f t="shared" si="261"/>
        <v/>
      </c>
      <c r="JW15" s="1805" t="str">
        <f t="shared" si="262"/>
        <v/>
      </c>
      <c r="JX15" s="1805" t="str">
        <f t="shared" si="263"/>
        <v/>
      </c>
      <c r="JY15" s="1805" t="str">
        <f t="shared" si="264"/>
        <v/>
      </c>
      <c r="JZ15" s="1805" t="str">
        <f t="shared" si="265"/>
        <v/>
      </c>
      <c r="KA15" s="1805" t="str">
        <f t="shared" si="266"/>
        <v/>
      </c>
      <c r="KB15" s="1805" t="str">
        <f t="shared" si="267"/>
        <v/>
      </c>
      <c r="KC15" s="1805" t="str">
        <f t="shared" si="268"/>
        <v/>
      </c>
      <c r="KD15" s="1805" t="str">
        <f t="shared" si="269"/>
        <v/>
      </c>
      <c r="KE15" s="1805" t="str">
        <f t="shared" si="270"/>
        <v/>
      </c>
      <c r="KF15" s="1805" t="str">
        <f t="shared" si="271"/>
        <v/>
      </c>
      <c r="KG15" s="1805" t="str">
        <f t="shared" si="272"/>
        <v/>
      </c>
      <c r="KH15" s="1805" t="str">
        <f t="shared" si="273"/>
        <v/>
      </c>
      <c r="KI15" s="1805" t="str">
        <f t="shared" si="274"/>
        <v/>
      </c>
      <c r="KJ15" s="1805" t="str">
        <f t="shared" si="275"/>
        <v/>
      </c>
      <c r="KK15" s="1805" t="str">
        <f t="shared" si="276"/>
        <v/>
      </c>
      <c r="KL15" s="1805" t="str">
        <f t="shared" si="277"/>
        <v/>
      </c>
      <c r="KM15" s="1805" t="str">
        <f t="shared" si="278"/>
        <v/>
      </c>
      <c r="KN15" s="1805" t="str">
        <f t="shared" si="279"/>
        <v/>
      </c>
      <c r="KO15" s="1805" t="str">
        <f t="shared" si="280"/>
        <v/>
      </c>
      <c r="KP15" s="1805" t="str">
        <f t="shared" si="281"/>
        <v/>
      </c>
      <c r="KQ15" s="1805" t="str">
        <f t="shared" si="282"/>
        <v/>
      </c>
      <c r="KR15" s="1805" t="str">
        <f t="shared" si="283"/>
        <v/>
      </c>
      <c r="KS15" s="1805" t="str">
        <f t="shared" si="284"/>
        <v/>
      </c>
      <c r="KT15" s="1805" t="str">
        <f t="shared" si="285"/>
        <v/>
      </c>
      <c r="KU15" s="1805">
        <f t="shared" si="286"/>
        <v>8</v>
      </c>
      <c r="KV15" s="1805" t="str">
        <f t="shared" si="287"/>
        <v/>
      </c>
      <c r="KW15" s="1805" t="str">
        <f t="shared" si="288"/>
        <v/>
      </c>
      <c r="KX15" s="1805" t="str">
        <f t="shared" si="289"/>
        <v/>
      </c>
      <c r="KY15" s="1805" t="str">
        <f t="shared" si="290"/>
        <v/>
      </c>
      <c r="KZ15" s="1805" t="str">
        <f t="shared" si="291"/>
        <v/>
      </c>
      <c r="LA15" s="1805" t="str">
        <f t="shared" si="292"/>
        <v/>
      </c>
      <c r="LB15" s="1805" t="str">
        <f t="shared" si="293"/>
        <v/>
      </c>
      <c r="LC15" s="1805" t="str">
        <f t="shared" si="294"/>
        <v/>
      </c>
      <c r="LD15" s="1805" t="str">
        <f t="shared" si="295"/>
        <v/>
      </c>
      <c r="LE15" s="1805" t="str">
        <f t="shared" si="296"/>
        <v/>
      </c>
      <c r="LF15" s="1805" t="str">
        <f t="shared" si="297"/>
        <v/>
      </c>
      <c r="LG15" s="1794" t="str">
        <f t="shared" si="298"/>
        <v/>
      </c>
      <c r="LH15" s="1794" t="str">
        <f t="shared" si="299"/>
        <v/>
      </c>
      <c r="LI15" s="1794" t="str">
        <f t="shared" si="300"/>
        <v/>
      </c>
      <c r="LJ15" s="1794" t="str">
        <f t="shared" si="301"/>
        <v/>
      </c>
      <c r="LK15" s="1794"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7">
        <f t="shared" si="323"/>
        <v>0</v>
      </c>
      <c r="MG15" s="1657">
        <f t="shared" si="324"/>
        <v>0</v>
      </c>
      <c r="MH15" s="1657">
        <f t="shared" si="325"/>
        <v>0</v>
      </c>
      <c r="MI15" s="1657">
        <f t="shared" si="326"/>
        <v>0</v>
      </c>
      <c r="MJ15" s="1657">
        <f t="shared" si="327"/>
        <v>0</v>
      </c>
      <c r="MK15" s="1657">
        <f t="shared" si="333"/>
        <v>0</v>
      </c>
      <c r="ML15" s="1657">
        <f t="shared" si="334"/>
        <v>0</v>
      </c>
      <c r="MM15" s="1657">
        <f t="shared" si="335"/>
        <v>0</v>
      </c>
      <c r="MN15" s="1657">
        <f t="shared" si="336"/>
        <v>8</v>
      </c>
      <c r="MO15" s="1657">
        <f t="shared" si="337"/>
        <v>0</v>
      </c>
      <c r="MP15" s="1657">
        <f t="shared" si="328"/>
        <v>0</v>
      </c>
      <c r="MQ15" s="1657">
        <f t="shared" si="329"/>
        <v>0</v>
      </c>
      <c r="MR15" s="1657">
        <f t="shared" si="330"/>
        <v>0</v>
      </c>
      <c r="MS15" s="1657">
        <f t="shared" si="331"/>
        <v>0</v>
      </c>
      <c r="MT15" s="1657">
        <f t="shared" si="332"/>
        <v>0</v>
      </c>
      <c r="NP15" s="1630" t="s">
        <v>4308</v>
      </c>
      <c r="NQ15" s="2480">
        <v>15</v>
      </c>
    </row>
    <row r="16" spans="1:493" ht="13.9" customHeight="1">
      <c r="A16" s="86" t="str">
        <f t="shared" si="0"/>
        <v/>
      </c>
      <c r="B16" s="1022" t="s">
        <v>290</v>
      </c>
      <c r="C16" s="132"/>
      <c r="D16" s="1660"/>
      <c r="E16" s="133"/>
      <c r="F16" s="133"/>
      <c r="G16" s="133"/>
      <c r="H16" s="133"/>
      <c r="I16" s="133"/>
      <c r="J16" s="1366"/>
      <c r="K16" s="632"/>
      <c r="L16" s="460">
        <f t="shared" si="1"/>
        <v>0</v>
      </c>
      <c r="M16" s="460">
        <f t="shared" si="2"/>
        <v>0</v>
      </c>
      <c r="N16" s="683"/>
      <c r="O16" s="1594"/>
      <c r="P16" s="683"/>
      <c r="Q16" s="134"/>
      <c r="R16" s="726"/>
      <c r="S16" s="727"/>
      <c r="T16" s="3453"/>
      <c r="U16" s="3454"/>
      <c r="V16" s="3454"/>
      <c r="W16" s="3455"/>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5" t="str">
        <f t="shared" si="213"/>
        <v/>
      </c>
      <c r="IA16" s="1805" t="str">
        <f t="shared" si="214"/>
        <v/>
      </c>
      <c r="IB16" s="1805" t="str">
        <f t="shared" si="215"/>
        <v/>
      </c>
      <c r="IC16" s="1805" t="str">
        <f t="shared" si="216"/>
        <v/>
      </c>
      <c r="ID16" s="1805" t="str">
        <f t="shared" si="217"/>
        <v/>
      </c>
      <c r="IE16" s="1805" t="str">
        <f t="shared" si="218"/>
        <v/>
      </c>
      <c r="IF16" s="1805" t="str">
        <f t="shared" si="219"/>
        <v/>
      </c>
      <c r="IG16" s="1805" t="str">
        <f t="shared" si="220"/>
        <v/>
      </c>
      <c r="IH16" s="1805" t="str">
        <f t="shared" si="221"/>
        <v/>
      </c>
      <c r="II16" s="1805" t="str">
        <f t="shared" si="222"/>
        <v/>
      </c>
      <c r="IJ16" s="1805" t="str">
        <f t="shared" si="223"/>
        <v/>
      </c>
      <c r="IK16" s="1805" t="str">
        <f t="shared" si="224"/>
        <v/>
      </c>
      <c r="IL16" s="1805" t="str">
        <f t="shared" si="225"/>
        <v/>
      </c>
      <c r="IM16" s="1805" t="str">
        <f t="shared" si="226"/>
        <v/>
      </c>
      <c r="IN16" s="1805" t="str">
        <f t="shared" si="227"/>
        <v/>
      </c>
      <c r="IO16" s="1805" t="str">
        <f t="shared" si="228"/>
        <v/>
      </c>
      <c r="IP16" s="1805" t="str">
        <f t="shared" si="229"/>
        <v/>
      </c>
      <c r="IQ16" s="1805" t="str">
        <f t="shared" si="230"/>
        <v/>
      </c>
      <c r="IR16" s="1805" t="str">
        <f t="shared" si="231"/>
        <v/>
      </c>
      <c r="IS16" s="1805" t="str">
        <f t="shared" si="232"/>
        <v/>
      </c>
      <c r="IT16" s="1805" t="str">
        <f t="shared" si="233"/>
        <v/>
      </c>
      <c r="IU16" s="1805" t="str">
        <f t="shared" si="234"/>
        <v/>
      </c>
      <c r="IV16" s="1805" t="str">
        <f t="shared" si="235"/>
        <v/>
      </c>
      <c r="IW16" s="1805" t="str">
        <f t="shared" si="236"/>
        <v/>
      </c>
      <c r="IX16" s="1805" t="str">
        <f t="shared" si="237"/>
        <v/>
      </c>
      <c r="IY16" s="1805" t="str">
        <f t="shared" si="238"/>
        <v/>
      </c>
      <c r="IZ16" s="1805" t="str">
        <f t="shared" si="239"/>
        <v/>
      </c>
      <c r="JA16" s="1805" t="str">
        <f t="shared" si="240"/>
        <v/>
      </c>
      <c r="JB16" s="1805" t="str">
        <f t="shared" si="241"/>
        <v/>
      </c>
      <c r="JC16" s="1805" t="str">
        <f t="shared" si="242"/>
        <v/>
      </c>
      <c r="JD16" s="1805" t="str">
        <f t="shared" si="243"/>
        <v/>
      </c>
      <c r="JE16" s="1805" t="str">
        <f t="shared" si="244"/>
        <v/>
      </c>
      <c r="JF16" s="1805" t="str">
        <f t="shared" si="245"/>
        <v/>
      </c>
      <c r="JG16" s="1805" t="str">
        <f t="shared" si="246"/>
        <v/>
      </c>
      <c r="JH16" s="1805" t="str">
        <f t="shared" si="247"/>
        <v/>
      </c>
      <c r="JI16" s="1805" t="str">
        <f t="shared" si="248"/>
        <v/>
      </c>
      <c r="JJ16" s="1805" t="str">
        <f t="shared" si="249"/>
        <v/>
      </c>
      <c r="JK16" s="1805" t="str">
        <f t="shared" si="250"/>
        <v/>
      </c>
      <c r="JL16" s="1805" t="str">
        <f t="shared" si="251"/>
        <v/>
      </c>
      <c r="JM16" s="1805" t="str">
        <f t="shared" si="252"/>
        <v/>
      </c>
      <c r="JN16" s="1805" t="str">
        <f t="shared" si="253"/>
        <v/>
      </c>
      <c r="JO16" s="1805" t="str">
        <f t="shared" si="254"/>
        <v/>
      </c>
      <c r="JP16" s="1805" t="str">
        <f t="shared" si="255"/>
        <v/>
      </c>
      <c r="JQ16" s="1805" t="str">
        <f t="shared" si="256"/>
        <v/>
      </c>
      <c r="JR16" s="1805" t="str">
        <f t="shared" si="257"/>
        <v/>
      </c>
      <c r="JS16" s="1805" t="str">
        <f t="shared" si="258"/>
        <v/>
      </c>
      <c r="JT16" s="1805" t="str">
        <f t="shared" si="259"/>
        <v/>
      </c>
      <c r="JU16" s="1805" t="str">
        <f t="shared" si="260"/>
        <v/>
      </c>
      <c r="JV16" s="1805" t="str">
        <f t="shared" si="261"/>
        <v/>
      </c>
      <c r="JW16" s="1805" t="str">
        <f t="shared" si="262"/>
        <v/>
      </c>
      <c r="JX16" s="1805" t="str">
        <f t="shared" si="263"/>
        <v/>
      </c>
      <c r="JY16" s="1805" t="str">
        <f t="shared" si="264"/>
        <v/>
      </c>
      <c r="JZ16" s="1805" t="str">
        <f t="shared" si="265"/>
        <v/>
      </c>
      <c r="KA16" s="1805" t="str">
        <f t="shared" si="266"/>
        <v/>
      </c>
      <c r="KB16" s="1805" t="str">
        <f t="shared" si="267"/>
        <v/>
      </c>
      <c r="KC16" s="1805" t="str">
        <f t="shared" si="268"/>
        <v/>
      </c>
      <c r="KD16" s="1805" t="str">
        <f t="shared" si="269"/>
        <v/>
      </c>
      <c r="KE16" s="1805" t="str">
        <f t="shared" si="270"/>
        <v/>
      </c>
      <c r="KF16" s="1805" t="str">
        <f t="shared" si="271"/>
        <v/>
      </c>
      <c r="KG16" s="1805" t="str">
        <f t="shared" si="272"/>
        <v/>
      </c>
      <c r="KH16" s="1805" t="str">
        <f t="shared" si="273"/>
        <v/>
      </c>
      <c r="KI16" s="1805" t="str">
        <f t="shared" si="274"/>
        <v/>
      </c>
      <c r="KJ16" s="1805" t="str">
        <f t="shared" si="275"/>
        <v/>
      </c>
      <c r="KK16" s="1805" t="str">
        <f t="shared" si="276"/>
        <v/>
      </c>
      <c r="KL16" s="1805" t="str">
        <f t="shared" si="277"/>
        <v/>
      </c>
      <c r="KM16" s="1805" t="str">
        <f t="shared" si="278"/>
        <v/>
      </c>
      <c r="KN16" s="1805" t="str">
        <f t="shared" si="279"/>
        <v/>
      </c>
      <c r="KO16" s="1805" t="str">
        <f t="shared" si="280"/>
        <v/>
      </c>
      <c r="KP16" s="1805" t="str">
        <f t="shared" si="281"/>
        <v/>
      </c>
      <c r="KQ16" s="1805" t="str">
        <f t="shared" si="282"/>
        <v/>
      </c>
      <c r="KR16" s="1805" t="str">
        <f t="shared" si="283"/>
        <v/>
      </c>
      <c r="KS16" s="1805" t="str">
        <f t="shared" si="284"/>
        <v/>
      </c>
      <c r="KT16" s="1805" t="str">
        <f t="shared" si="285"/>
        <v/>
      </c>
      <c r="KU16" s="1805" t="str">
        <f t="shared" si="286"/>
        <v/>
      </c>
      <c r="KV16" s="1805" t="str">
        <f t="shared" si="287"/>
        <v/>
      </c>
      <c r="KW16" s="1805" t="str">
        <f t="shared" si="288"/>
        <v/>
      </c>
      <c r="KX16" s="1805" t="str">
        <f t="shared" si="289"/>
        <v/>
      </c>
      <c r="KY16" s="1805" t="str">
        <f t="shared" si="290"/>
        <v/>
      </c>
      <c r="KZ16" s="1805" t="str">
        <f t="shared" si="291"/>
        <v/>
      </c>
      <c r="LA16" s="1805" t="str">
        <f t="shared" si="292"/>
        <v/>
      </c>
      <c r="LB16" s="1805" t="str">
        <f t="shared" si="293"/>
        <v/>
      </c>
      <c r="LC16" s="1805" t="str">
        <f t="shared" si="294"/>
        <v/>
      </c>
      <c r="LD16" s="1805" t="str">
        <f t="shared" si="295"/>
        <v/>
      </c>
      <c r="LE16" s="1805" t="str">
        <f t="shared" si="296"/>
        <v/>
      </c>
      <c r="LF16" s="1805" t="str">
        <f t="shared" si="297"/>
        <v/>
      </c>
      <c r="LG16" s="1794" t="str">
        <f t="shared" si="298"/>
        <v/>
      </c>
      <c r="LH16" s="1794" t="str">
        <f t="shared" si="299"/>
        <v/>
      </c>
      <c r="LI16" s="1794" t="str">
        <f t="shared" si="300"/>
        <v/>
      </c>
      <c r="LJ16" s="1794" t="str">
        <f t="shared" si="301"/>
        <v/>
      </c>
      <c r="LK16" s="1794"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7">
        <f t="shared" si="323"/>
        <v>0</v>
      </c>
      <c r="MG16" s="1657">
        <f t="shared" si="324"/>
        <v>0</v>
      </c>
      <c r="MH16" s="1657">
        <f t="shared" si="325"/>
        <v>0</v>
      </c>
      <c r="MI16" s="1657">
        <f t="shared" si="326"/>
        <v>0</v>
      </c>
      <c r="MJ16" s="1657">
        <f t="shared" si="327"/>
        <v>0</v>
      </c>
      <c r="MK16" s="1657">
        <f t="shared" si="333"/>
        <v>0</v>
      </c>
      <c r="ML16" s="1657">
        <f t="shared" si="334"/>
        <v>0</v>
      </c>
      <c r="MM16" s="1657">
        <f t="shared" si="335"/>
        <v>0</v>
      </c>
      <c r="MN16" s="1657">
        <f t="shared" si="336"/>
        <v>0</v>
      </c>
      <c r="MO16" s="1657">
        <f t="shared" si="337"/>
        <v>0</v>
      </c>
      <c r="MP16" s="1657">
        <f t="shared" si="328"/>
        <v>0</v>
      </c>
      <c r="MQ16" s="1657">
        <f t="shared" si="329"/>
        <v>0</v>
      </c>
      <c r="MR16" s="1657">
        <f t="shared" si="330"/>
        <v>0</v>
      </c>
      <c r="MS16" s="1657">
        <f t="shared" si="331"/>
        <v>0</v>
      </c>
      <c r="MT16" s="1657">
        <f t="shared" si="332"/>
        <v>0</v>
      </c>
      <c r="NP16" s="1630" t="s">
        <v>4309</v>
      </c>
      <c r="NQ16" s="2480">
        <v>16</v>
      </c>
    </row>
    <row r="17" spans="1:381" ht="13.9" customHeight="1" thickBot="1">
      <c r="A17" s="86" t="str">
        <f t="shared" si="0"/>
        <v/>
      </c>
      <c r="B17" s="1023" t="s">
        <v>290</v>
      </c>
      <c r="C17" s="1026"/>
      <c r="D17" s="1661"/>
      <c r="E17" s="1027"/>
      <c r="F17" s="1027"/>
      <c r="G17" s="1027"/>
      <c r="H17" s="1027"/>
      <c r="I17" s="1027"/>
      <c r="J17" s="1367"/>
      <c r="K17" s="1046"/>
      <c r="L17" s="1047">
        <f t="shared" si="1"/>
        <v>0</v>
      </c>
      <c r="M17" s="1047">
        <f t="shared" si="2"/>
        <v>0</v>
      </c>
      <c r="N17" s="1048"/>
      <c r="O17" s="1595"/>
      <c r="P17" s="1048"/>
      <c r="Q17" s="1049"/>
      <c r="R17" s="726"/>
      <c r="S17" s="727"/>
      <c r="T17" s="3453"/>
      <c r="U17" s="3454"/>
      <c r="V17" s="3454"/>
      <c r="W17" s="3455"/>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5" t="str">
        <f t="shared" si="213"/>
        <v/>
      </c>
      <c r="IA17" s="1805" t="str">
        <f t="shared" si="214"/>
        <v/>
      </c>
      <c r="IB17" s="1805" t="str">
        <f t="shared" si="215"/>
        <v/>
      </c>
      <c r="IC17" s="1805" t="str">
        <f t="shared" si="216"/>
        <v/>
      </c>
      <c r="ID17" s="1805" t="str">
        <f t="shared" si="217"/>
        <v/>
      </c>
      <c r="IE17" s="1805" t="str">
        <f t="shared" si="218"/>
        <v/>
      </c>
      <c r="IF17" s="1805" t="str">
        <f t="shared" si="219"/>
        <v/>
      </c>
      <c r="IG17" s="1805" t="str">
        <f t="shared" si="220"/>
        <v/>
      </c>
      <c r="IH17" s="1805" t="str">
        <f t="shared" si="221"/>
        <v/>
      </c>
      <c r="II17" s="1805" t="str">
        <f t="shared" si="222"/>
        <v/>
      </c>
      <c r="IJ17" s="1805" t="str">
        <f t="shared" si="223"/>
        <v/>
      </c>
      <c r="IK17" s="1805" t="str">
        <f t="shared" si="224"/>
        <v/>
      </c>
      <c r="IL17" s="1805" t="str">
        <f t="shared" si="225"/>
        <v/>
      </c>
      <c r="IM17" s="1805" t="str">
        <f t="shared" si="226"/>
        <v/>
      </c>
      <c r="IN17" s="1805" t="str">
        <f t="shared" si="227"/>
        <v/>
      </c>
      <c r="IO17" s="1805" t="str">
        <f t="shared" si="228"/>
        <v/>
      </c>
      <c r="IP17" s="1805" t="str">
        <f t="shared" si="229"/>
        <v/>
      </c>
      <c r="IQ17" s="1805" t="str">
        <f t="shared" si="230"/>
        <v/>
      </c>
      <c r="IR17" s="1805" t="str">
        <f t="shared" si="231"/>
        <v/>
      </c>
      <c r="IS17" s="1805" t="str">
        <f t="shared" si="232"/>
        <v/>
      </c>
      <c r="IT17" s="1805" t="str">
        <f t="shared" si="233"/>
        <v/>
      </c>
      <c r="IU17" s="1805" t="str">
        <f t="shared" si="234"/>
        <v/>
      </c>
      <c r="IV17" s="1805" t="str">
        <f t="shared" si="235"/>
        <v/>
      </c>
      <c r="IW17" s="1805" t="str">
        <f t="shared" si="236"/>
        <v/>
      </c>
      <c r="IX17" s="1805" t="str">
        <f t="shared" si="237"/>
        <v/>
      </c>
      <c r="IY17" s="1805" t="str">
        <f t="shared" si="238"/>
        <v/>
      </c>
      <c r="IZ17" s="1805" t="str">
        <f t="shared" si="239"/>
        <v/>
      </c>
      <c r="JA17" s="1805" t="str">
        <f t="shared" si="240"/>
        <v/>
      </c>
      <c r="JB17" s="1805" t="str">
        <f t="shared" si="241"/>
        <v/>
      </c>
      <c r="JC17" s="1805" t="str">
        <f t="shared" si="242"/>
        <v/>
      </c>
      <c r="JD17" s="1805" t="str">
        <f t="shared" si="243"/>
        <v/>
      </c>
      <c r="JE17" s="1805" t="str">
        <f t="shared" si="244"/>
        <v/>
      </c>
      <c r="JF17" s="1805" t="str">
        <f t="shared" si="245"/>
        <v/>
      </c>
      <c r="JG17" s="1805" t="str">
        <f t="shared" si="246"/>
        <v/>
      </c>
      <c r="JH17" s="1805" t="str">
        <f t="shared" si="247"/>
        <v/>
      </c>
      <c r="JI17" s="1805" t="str">
        <f t="shared" si="248"/>
        <v/>
      </c>
      <c r="JJ17" s="1805" t="str">
        <f t="shared" si="249"/>
        <v/>
      </c>
      <c r="JK17" s="1805" t="str">
        <f t="shared" si="250"/>
        <v/>
      </c>
      <c r="JL17" s="1805" t="str">
        <f t="shared" si="251"/>
        <v/>
      </c>
      <c r="JM17" s="1805" t="str">
        <f t="shared" si="252"/>
        <v/>
      </c>
      <c r="JN17" s="1805" t="str">
        <f t="shared" si="253"/>
        <v/>
      </c>
      <c r="JO17" s="1805" t="str">
        <f t="shared" si="254"/>
        <v/>
      </c>
      <c r="JP17" s="1805" t="str">
        <f t="shared" si="255"/>
        <v/>
      </c>
      <c r="JQ17" s="1805" t="str">
        <f t="shared" si="256"/>
        <v/>
      </c>
      <c r="JR17" s="1805" t="str">
        <f t="shared" si="257"/>
        <v/>
      </c>
      <c r="JS17" s="1805" t="str">
        <f t="shared" si="258"/>
        <v/>
      </c>
      <c r="JT17" s="1805" t="str">
        <f t="shared" si="259"/>
        <v/>
      </c>
      <c r="JU17" s="1805" t="str">
        <f t="shared" si="260"/>
        <v/>
      </c>
      <c r="JV17" s="1805" t="str">
        <f t="shared" si="261"/>
        <v/>
      </c>
      <c r="JW17" s="1805" t="str">
        <f t="shared" si="262"/>
        <v/>
      </c>
      <c r="JX17" s="1805" t="str">
        <f t="shared" si="263"/>
        <v/>
      </c>
      <c r="JY17" s="1805" t="str">
        <f t="shared" si="264"/>
        <v/>
      </c>
      <c r="JZ17" s="1805" t="str">
        <f t="shared" si="265"/>
        <v/>
      </c>
      <c r="KA17" s="1805" t="str">
        <f t="shared" si="266"/>
        <v/>
      </c>
      <c r="KB17" s="1805" t="str">
        <f t="shared" si="267"/>
        <v/>
      </c>
      <c r="KC17" s="1805" t="str">
        <f t="shared" si="268"/>
        <v/>
      </c>
      <c r="KD17" s="1805" t="str">
        <f t="shared" si="269"/>
        <v/>
      </c>
      <c r="KE17" s="1805" t="str">
        <f t="shared" si="270"/>
        <v/>
      </c>
      <c r="KF17" s="1805" t="str">
        <f t="shared" si="271"/>
        <v/>
      </c>
      <c r="KG17" s="1805" t="str">
        <f t="shared" si="272"/>
        <v/>
      </c>
      <c r="KH17" s="1805" t="str">
        <f t="shared" si="273"/>
        <v/>
      </c>
      <c r="KI17" s="1805" t="str">
        <f t="shared" si="274"/>
        <v/>
      </c>
      <c r="KJ17" s="1805" t="str">
        <f t="shared" si="275"/>
        <v/>
      </c>
      <c r="KK17" s="1805" t="str">
        <f t="shared" si="276"/>
        <v/>
      </c>
      <c r="KL17" s="1805" t="str">
        <f t="shared" si="277"/>
        <v/>
      </c>
      <c r="KM17" s="1805" t="str">
        <f t="shared" si="278"/>
        <v/>
      </c>
      <c r="KN17" s="1805" t="str">
        <f t="shared" si="279"/>
        <v/>
      </c>
      <c r="KO17" s="1805" t="str">
        <f t="shared" si="280"/>
        <v/>
      </c>
      <c r="KP17" s="1805" t="str">
        <f t="shared" si="281"/>
        <v/>
      </c>
      <c r="KQ17" s="1805" t="str">
        <f t="shared" si="282"/>
        <v/>
      </c>
      <c r="KR17" s="1805" t="str">
        <f t="shared" si="283"/>
        <v/>
      </c>
      <c r="KS17" s="1805" t="str">
        <f t="shared" si="284"/>
        <v/>
      </c>
      <c r="KT17" s="1805" t="str">
        <f t="shared" si="285"/>
        <v/>
      </c>
      <c r="KU17" s="1805" t="str">
        <f t="shared" si="286"/>
        <v/>
      </c>
      <c r="KV17" s="1805" t="str">
        <f t="shared" si="287"/>
        <v/>
      </c>
      <c r="KW17" s="1805" t="str">
        <f t="shared" si="288"/>
        <v/>
      </c>
      <c r="KX17" s="1805" t="str">
        <f t="shared" si="289"/>
        <v/>
      </c>
      <c r="KY17" s="1805" t="str">
        <f t="shared" si="290"/>
        <v/>
      </c>
      <c r="KZ17" s="1805" t="str">
        <f t="shared" si="291"/>
        <v/>
      </c>
      <c r="LA17" s="1805" t="str">
        <f t="shared" si="292"/>
        <v/>
      </c>
      <c r="LB17" s="1805" t="str">
        <f t="shared" si="293"/>
        <v/>
      </c>
      <c r="LC17" s="1805" t="str">
        <f t="shared" si="294"/>
        <v/>
      </c>
      <c r="LD17" s="1805" t="str">
        <f t="shared" si="295"/>
        <v/>
      </c>
      <c r="LE17" s="1805" t="str">
        <f t="shared" si="296"/>
        <v/>
      </c>
      <c r="LF17" s="1805" t="str">
        <f t="shared" si="297"/>
        <v/>
      </c>
      <c r="LG17" s="1794" t="str">
        <f t="shared" si="298"/>
        <v/>
      </c>
      <c r="LH17" s="1794" t="str">
        <f t="shared" si="299"/>
        <v/>
      </c>
      <c r="LI17" s="1794" t="str">
        <f t="shared" si="300"/>
        <v/>
      </c>
      <c r="LJ17" s="1794" t="str">
        <f t="shared" si="301"/>
        <v/>
      </c>
      <c r="LK17" s="1794"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7">
        <f t="shared" si="323"/>
        <v>0</v>
      </c>
      <c r="MG17" s="1657">
        <f t="shared" si="324"/>
        <v>0</v>
      </c>
      <c r="MH17" s="1657">
        <f t="shared" si="325"/>
        <v>0</v>
      </c>
      <c r="MI17" s="1657">
        <f t="shared" si="326"/>
        <v>0</v>
      </c>
      <c r="MJ17" s="1657">
        <f t="shared" si="327"/>
        <v>0</v>
      </c>
      <c r="MK17" s="1657">
        <f t="shared" si="333"/>
        <v>0</v>
      </c>
      <c r="ML17" s="1657">
        <f t="shared" si="334"/>
        <v>0</v>
      </c>
      <c r="MM17" s="1657">
        <f t="shared" si="335"/>
        <v>0</v>
      </c>
      <c r="MN17" s="1657">
        <f t="shared" si="336"/>
        <v>0</v>
      </c>
      <c r="MO17" s="1657">
        <f t="shared" si="337"/>
        <v>0</v>
      </c>
      <c r="MP17" s="1657">
        <f t="shared" si="328"/>
        <v>0</v>
      </c>
      <c r="MQ17" s="1657">
        <f t="shared" si="329"/>
        <v>0</v>
      </c>
      <c r="MR17" s="1657">
        <f t="shared" si="330"/>
        <v>0</v>
      </c>
      <c r="MS17" s="1657">
        <f t="shared" si="331"/>
        <v>0</v>
      </c>
      <c r="MT17" s="1657">
        <f t="shared" si="332"/>
        <v>0</v>
      </c>
      <c r="NP17" s="1630" t="s">
        <v>4310</v>
      </c>
      <c r="NQ17" s="2480">
        <v>17</v>
      </c>
    </row>
    <row r="18" spans="1:381" ht="13.9" customHeight="1">
      <c r="A18" s="86">
        <f t="shared" si="0"/>
        <v>1</v>
      </c>
      <c r="B18" s="1059">
        <v>50</v>
      </c>
      <c r="C18" s="1024">
        <v>1</v>
      </c>
      <c r="D18" s="1662">
        <v>1</v>
      </c>
      <c r="E18" s="1025">
        <v>3</v>
      </c>
      <c r="F18" s="1025">
        <v>700</v>
      </c>
      <c r="G18" s="1025">
        <v>1008</v>
      </c>
      <c r="H18" s="1025">
        <f>890+J18</f>
        <v>1008</v>
      </c>
      <c r="I18" s="1025"/>
      <c r="J18" s="1041">
        <f>IF(C18="",0,HLOOKUP(C18,'Part IV-Utility Allowances'!$I$11:$M$22,12))</f>
        <v>118</v>
      </c>
      <c r="K18" s="1042"/>
      <c r="L18" s="1043">
        <f t="shared" si="1"/>
        <v>890</v>
      </c>
      <c r="M18" s="1043">
        <f t="shared" si="2"/>
        <v>2670</v>
      </c>
      <c r="N18" s="1044"/>
      <c r="O18" s="1596" t="s">
        <v>5146</v>
      </c>
      <c r="P18" s="1044" t="s">
        <v>2114</v>
      </c>
      <c r="Q18" s="1045" t="s">
        <v>2644</v>
      </c>
      <c r="R18" s="726"/>
      <c r="S18" s="727"/>
      <c r="T18" s="3453"/>
      <c r="U18" s="3454"/>
      <c r="V18" s="3454"/>
      <c r="W18" s="3455"/>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3</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2100</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3</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5" t="str">
        <f t="shared" si="213"/>
        <v/>
      </c>
      <c r="IA18" s="1805">
        <f t="shared" si="214"/>
        <v>3</v>
      </c>
      <c r="IB18" s="1805" t="str">
        <f t="shared" si="215"/>
        <v/>
      </c>
      <c r="IC18" s="1805" t="str">
        <f t="shared" si="216"/>
        <v/>
      </c>
      <c r="ID18" s="1805" t="str">
        <f t="shared" si="217"/>
        <v/>
      </c>
      <c r="IE18" s="1805" t="str">
        <f t="shared" si="218"/>
        <v/>
      </c>
      <c r="IF18" s="1805" t="str">
        <f t="shared" si="219"/>
        <v/>
      </c>
      <c r="IG18" s="1805" t="str">
        <f t="shared" si="220"/>
        <v/>
      </c>
      <c r="IH18" s="1805" t="str">
        <f t="shared" si="221"/>
        <v/>
      </c>
      <c r="II18" s="1805" t="str">
        <f t="shared" si="222"/>
        <v/>
      </c>
      <c r="IJ18" s="1805" t="str">
        <f t="shared" si="223"/>
        <v/>
      </c>
      <c r="IK18" s="1805" t="str">
        <f t="shared" si="224"/>
        <v/>
      </c>
      <c r="IL18" s="1805" t="str">
        <f t="shared" si="225"/>
        <v/>
      </c>
      <c r="IM18" s="1805" t="str">
        <f t="shared" si="226"/>
        <v/>
      </c>
      <c r="IN18" s="1805" t="str">
        <f t="shared" si="227"/>
        <v/>
      </c>
      <c r="IO18" s="1805" t="str">
        <f t="shared" si="228"/>
        <v/>
      </c>
      <c r="IP18" s="1805" t="str">
        <f t="shared" si="229"/>
        <v/>
      </c>
      <c r="IQ18" s="1805" t="str">
        <f t="shared" si="230"/>
        <v/>
      </c>
      <c r="IR18" s="1805" t="str">
        <f t="shared" si="231"/>
        <v/>
      </c>
      <c r="IS18" s="1805" t="str">
        <f t="shared" si="232"/>
        <v/>
      </c>
      <c r="IT18" s="1805" t="str">
        <f t="shared" si="233"/>
        <v/>
      </c>
      <c r="IU18" s="1805" t="str">
        <f t="shared" si="234"/>
        <v/>
      </c>
      <c r="IV18" s="1805" t="str">
        <f t="shared" si="235"/>
        <v/>
      </c>
      <c r="IW18" s="1805" t="str">
        <f t="shared" si="236"/>
        <v/>
      </c>
      <c r="IX18" s="1805" t="str">
        <f t="shared" si="237"/>
        <v/>
      </c>
      <c r="IY18" s="1805" t="str">
        <f t="shared" si="238"/>
        <v/>
      </c>
      <c r="IZ18" s="1805" t="str">
        <f t="shared" si="239"/>
        <v/>
      </c>
      <c r="JA18" s="1805" t="str">
        <f t="shared" si="240"/>
        <v/>
      </c>
      <c r="JB18" s="1805" t="str">
        <f t="shared" si="241"/>
        <v/>
      </c>
      <c r="JC18" s="1805" t="str">
        <f t="shared" si="242"/>
        <v/>
      </c>
      <c r="JD18" s="1805" t="str">
        <f t="shared" si="243"/>
        <v/>
      </c>
      <c r="JE18" s="1805" t="str">
        <f t="shared" si="244"/>
        <v/>
      </c>
      <c r="JF18" s="1805" t="str">
        <f t="shared" si="245"/>
        <v/>
      </c>
      <c r="JG18" s="1805" t="str">
        <f t="shared" si="246"/>
        <v/>
      </c>
      <c r="JH18" s="1805" t="str">
        <f t="shared" si="247"/>
        <v/>
      </c>
      <c r="JI18" s="1805" t="str">
        <f t="shared" si="248"/>
        <v/>
      </c>
      <c r="JJ18" s="1805" t="str">
        <f t="shared" si="249"/>
        <v/>
      </c>
      <c r="JK18" s="1805" t="str">
        <f t="shared" si="250"/>
        <v/>
      </c>
      <c r="JL18" s="1805" t="str">
        <f t="shared" si="251"/>
        <v/>
      </c>
      <c r="JM18" s="1805" t="str">
        <f t="shared" si="252"/>
        <v/>
      </c>
      <c r="JN18" s="1805" t="str">
        <f t="shared" si="253"/>
        <v/>
      </c>
      <c r="JO18" s="1805" t="str">
        <f t="shared" si="254"/>
        <v/>
      </c>
      <c r="JP18" s="1805" t="str">
        <f t="shared" si="255"/>
        <v/>
      </c>
      <c r="JQ18" s="1805" t="str">
        <f t="shared" si="256"/>
        <v/>
      </c>
      <c r="JR18" s="1805" t="str">
        <f t="shared" si="257"/>
        <v/>
      </c>
      <c r="JS18" s="1805" t="str">
        <f t="shared" si="258"/>
        <v/>
      </c>
      <c r="JT18" s="1805" t="str">
        <f t="shared" si="259"/>
        <v/>
      </c>
      <c r="JU18" s="1805" t="str">
        <f t="shared" si="260"/>
        <v/>
      </c>
      <c r="JV18" s="1805" t="str">
        <f t="shared" si="261"/>
        <v/>
      </c>
      <c r="JW18" s="1805" t="str">
        <f t="shared" si="262"/>
        <v/>
      </c>
      <c r="JX18" s="1805" t="str">
        <f t="shared" si="263"/>
        <v/>
      </c>
      <c r="JY18" s="1805" t="str">
        <f t="shared" si="264"/>
        <v/>
      </c>
      <c r="JZ18" s="1805" t="str">
        <f t="shared" si="265"/>
        <v/>
      </c>
      <c r="KA18" s="1805" t="str">
        <f t="shared" si="266"/>
        <v/>
      </c>
      <c r="KB18" s="1805" t="str">
        <f t="shared" si="267"/>
        <v/>
      </c>
      <c r="KC18" s="1805" t="str">
        <f t="shared" si="268"/>
        <v/>
      </c>
      <c r="KD18" s="1805" t="str">
        <f t="shared" si="269"/>
        <v/>
      </c>
      <c r="KE18" s="1805" t="str">
        <f t="shared" si="270"/>
        <v/>
      </c>
      <c r="KF18" s="1805" t="str">
        <f t="shared" si="271"/>
        <v/>
      </c>
      <c r="KG18" s="1805" t="str">
        <f t="shared" si="272"/>
        <v/>
      </c>
      <c r="KH18" s="1805" t="str">
        <f t="shared" si="273"/>
        <v/>
      </c>
      <c r="KI18" s="1805" t="str">
        <f t="shared" si="274"/>
        <v/>
      </c>
      <c r="KJ18" s="1805" t="str">
        <f t="shared" si="275"/>
        <v/>
      </c>
      <c r="KK18" s="1805" t="str">
        <f t="shared" si="276"/>
        <v/>
      </c>
      <c r="KL18" s="1805" t="str">
        <f t="shared" si="277"/>
        <v/>
      </c>
      <c r="KM18" s="1805" t="str">
        <f t="shared" si="278"/>
        <v/>
      </c>
      <c r="KN18" s="1805" t="str">
        <f t="shared" si="279"/>
        <v/>
      </c>
      <c r="KO18" s="1805" t="str">
        <f t="shared" si="280"/>
        <v/>
      </c>
      <c r="KP18" s="1805" t="str">
        <f t="shared" si="281"/>
        <v/>
      </c>
      <c r="KQ18" s="1805" t="str">
        <f t="shared" si="282"/>
        <v/>
      </c>
      <c r="KR18" s="1805" t="str">
        <f t="shared" si="283"/>
        <v/>
      </c>
      <c r="KS18" s="1805">
        <f t="shared" si="284"/>
        <v>3</v>
      </c>
      <c r="KT18" s="1805" t="str">
        <f t="shared" si="285"/>
        <v/>
      </c>
      <c r="KU18" s="1805" t="str">
        <f t="shared" si="286"/>
        <v/>
      </c>
      <c r="KV18" s="1805" t="str">
        <f t="shared" si="287"/>
        <v/>
      </c>
      <c r="KW18" s="1805" t="str">
        <f t="shared" si="288"/>
        <v/>
      </c>
      <c r="KX18" s="1805" t="str">
        <f t="shared" si="289"/>
        <v/>
      </c>
      <c r="KY18" s="1805" t="str">
        <f t="shared" si="290"/>
        <v/>
      </c>
      <c r="KZ18" s="1805" t="str">
        <f t="shared" si="291"/>
        <v/>
      </c>
      <c r="LA18" s="1805" t="str">
        <f t="shared" si="292"/>
        <v/>
      </c>
      <c r="LB18" s="1805" t="str">
        <f t="shared" si="293"/>
        <v/>
      </c>
      <c r="LC18" s="1805" t="str">
        <f t="shared" si="294"/>
        <v/>
      </c>
      <c r="LD18" s="1805" t="str">
        <f t="shared" si="295"/>
        <v/>
      </c>
      <c r="LE18" s="1805" t="str">
        <f t="shared" si="296"/>
        <v/>
      </c>
      <c r="LF18" s="1805" t="str">
        <f t="shared" si="297"/>
        <v/>
      </c>
      <c r="LG18" s="1794" t="str">
        <f t="shared" si="298"/>
        <v/>
      </c>
      <c r="LH18" s="1794" t="str">
        <f t="shared" si="299"/>
        <v/>
      </c>
      <c r="LI18" s="1794" t="str">
        <f t="shared" si="300"/>
        <v/>
      </c>
      <c r="LJ18" s="1794" t="str">
        <f t="shared" si="301"/>
        <v/>
      </c>
      <c r="LK18" s="1794"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7">
        <f t="shared" si="323"/>
        <v>0</v>
      </c>
      <c r="MG18" s="1657">
        <f t="shared" si="324"/>
        <v>0</v>
      </c>
      <c r="MH18" s="1657">
        <f t="shared" si="325"/>
        <v>0</v>
      </c>
      <c r="MI18" s="1657">
        <f t="shared" si="326"/>
        <v>0</v>
      </c>
      <c r="MJ18" s="1657">
        <f t="shared" si="327"/>
        <v>0</v>
      </c>
      <c r="MK18" s="1657">
        <f t="shared" si="333"/>
        <v>0</v>
      </c>
      <c r="ML18" s="1657">
        <f t="shared" si="334"/>
        <v>3</v>
      </c>
      <c r="MM18" s="1657">
        <f t="shared" si="335"/>
        <v>0</v>
      </c>
      <c r="MN18" s="1657">
        <f t="shared" si="336"/>
        <v>0</v>
      </c>
      <c r="MO18" s="1657">
        <f t="shared" si="337"/>
        <v>0</v>
      </c>
      <c r="MP18" s="1657">
        <f t="shared" si="328"/>
        <v>0</v>
      </c>
      <c r="MQ18" s="1657">
        <f t="shared" si="329"/>
        <v>0</v>
      </c>
      <c r="MR18" s="1657">
        <f t="shared" si="330"/>
        <v>0</v>
      </c>
      <c r="MS18" s="1657">
        <f t="shared" si="331"/>
        <v>0</v>
      </c>
      <c r="MT18" s="1657">
        <f t="shared" si="332"/>
        <v>0</v>
      </c>
      <c r="NP18" s="1630" t="s">
        <v>4311</v>
      </c>
      <c r="NQ18" s="2480">
        <v>18</v>
      </c>
    </row>
    <row r="19" spans="1:381" ht="13.9" customHeight="1">
      <c r="A19" s="86">
        <f t="shared" si="0"/>
        <v>1</v>
      </c>
      <c r="B19" s="1060">
        <v>50</v>
      </c>
      <c r="C19" s="132">
        <v>2</v>
      </c>
      <c r="D19" s="1660">
        <v>2</v>
      </c>
      <c r="E19" s="133">
        <v>5</v>
      </c>
      <c r="F19" s="133">
        <v>900</v>
      </c>
      <c r="G19" s="133">
        <v>1210</v>
      </c>
      <c r="H19" s="133">
        <f>1060+J19</f>
        <v>1208</v>
      </c>
      <c r="I19" s="133"/>
      <c r="J19" s="743">
        <f>IF(C19="",0,HLOOKUP(C19,'Part IV-Utility Allowances'!$I$11:$M$22,12))</f>
        <v>148</v>
      </c>
      <c r="K19" s="632"/>
      <c r="L19" s="460">
        <f t="shared" si="1"/>
        <v>1060</v>
      </c>
      <c r="M19" s="460">
        <f t="shared" si="2"/>
        <v>5300</v>
      </c>
      <c r="N19" s="683"/>
      <c r="O19" s="1594" t="s">
        <v>5146</v>
      </c>
      <c r="P19" s="683" t="s">
        <v>2114</v>
      </c>
      <c r="Q19" s="134" t="s">
        <v>2644</v>
      </c>
      <c r="R19" s="726"/>
      <c r="S19" s="727"/>
      <c r="T19" s="3453"/>
      <c r="U19" s="3454"/>
      <c r="V19" s="3454"/>
      <c r="W19" s="3455"/>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f t="shared" si="20"/>
        <v>5</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f t="shared" si="135"/>
        <v>4500</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5</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5" t="str">
        <f t="shared" si="213"/>
        <v/>
      </c>
      <c r="IA19" s="1805" t="str">
        <f t="shared" si="214"/>
        <v/>
      </c>
      <c r="IB19" s="1805">
        <f t="shared" si="215"/>
        <v>5</v>
      </c>
      <c r="IC19" s="1805" t="str">
        <f t="shared" si="216"/>
        <v/>
      </c>
      <c r="ID19" s="1805" t="str">
        <f t="shared" si="217"/>
        <v/>
      </c>
      <c r="IE19" s="1805" t="str">
        <f t="shared" si="218"/>
        <v/>
      </c>
      <c r="IF19" s="1805" t="str">
        <f t="shared" si="219"/>
        <v/>
      </c>
      <c r="IG19" s="1805" t="str">
        <f t="shared" si="220"/>
        <v/>
      </c>
      <c r="IH19" s="1805" t="str">
        <f t="shared" si="221"/>
        <v/>
      </c>
      <c r="II19" s="1805" t="str">
        <f t="shared" si="222"/>
        <v/>
      </c>
      <c r="IJ19" s="1805" t="str">
        <f t="shared" si="223"/>
        <v/>
      </c>
      <c r="IK19" s="1805" t="str">
        <f t="shared" si="224"/>
        <v/>
      </c>
      <c r="IL19" s="1805" t="str">
        <f t="shared" si="225"/>
        <v/>
      </c>
      <c r="IM19" s="1805" t="str">
        <f t="shared" si="226"/>
        <v/>
      </c>
      <c r="IN19" s="1805" t="str">
        <f t="shared" si="227"/>
        <v/>
      </c>
      <c r="IO19" s="1805" t="str">
        <f t="shared" si="228"/>
        <v/>
      </c>
      <c r="IP19" s="1805" t="str">
        <f t="shared" si="229"/>
        <v/>
      </c>
      <c r="IQ19" s="1805" t="str">
        <f t="shared" si="230"/>
        <v/>
      </c>
      <c r="IR19" s="1805" t="str">
        <f t="shared" si="231"/>
        <v/>
      </c>
      <c r="IS19" s="1805" t="str">
        <f t="shared" si="232"/>
        <v/>
      </c>
      <c r="IT19" s="1805" t="str">
        <f t="shared" si="233"/>
        <v/>
      </c>
      <c r="IU19" s="1805" t="str">
        <f t="shared" si="234"/>
        <v/>
      </c>
      <c r="IV19" s="1805" t="str">
        <f t="shared" si="235"/>
        <v/>
      </c>
      <c r="IW19" s="1805" t="str">
        <f t="shared" si="236"/>
        <v/>
      </c>
      <c r="IX19" s="1805" t="str">
        <f t="shared" si="237"/>
        <v/>
      </c>
      <c r="IY19" s="1805" t="str">
        <f t="shared" si="238"/>
        <v/>
      </c>
      <c r="IZ19" s="1805" t="str">
        <f t="shared" si="239"/>
        <v/>
      </c>
      <c r="JA19" s="1805" t="str">
        <f t="shared" si="240"/>
        <v/>
      </c>
      <c r="JB19" s="1805" t="str">
        <f t="shared" si="241"/>
        <v/>
      </c>
      <c r="JC19" s="1805" t="str">
        <f t="shared" si="242"/>
        <v/>
      </c>
      <c r="JD19" s="1805" t="str">
        <f t="shared" si="243"/>
        <v/>
      </c>
      <c r="JE19" s="1805" t="str">
        <f t="shared" si="244"/>
        <v/>
      </c>
      <c r="JF19" s="1805" t="str">
        <f t="shared" si="245"/>
        <v/>
      </c>
      <c r="JG19" s="1805" t="str">
        <f t="shared" si="246"/>
        <v/>
      </c>
      <c r="JH19" s="1805" t="str">
        <f t="shared" si="247"/>
        <v/>
      </c>
      <c r="JI19" s="1805" t="str">
        <f t="shared" si="248"/>
        <v/>
      </c>
      <c r="JJ19" s="1805" t="str">
        <f t="shared" si="249"/>
        <v/>
      </c>
      <c r="JK19" s="1805" t="str">
        <f t="shared" si="250"/>
        <v/>
      </c>
      <c r="JL19" s="1805" t="str">
        <f t="shared" si="251"/>
        <v/>
      </c>
      <c r="JM19" s="1805" t="str">
        <f t="shared" si="252"/>
        <v/>
      </c>
      <c r="JN19" s="1805" t="str">
        <f t="shared" si="253"/>
        <v/>
      </c>
      <c r="JO19" s="1805" t="str">
        <f t="shared" si="254"/>
        <v/>
      </c>
      <c r="JP19" s="1805" t="str">
        <f t="shared" si="255"/>
        <v/>
      </c>
      <c r="JQ19" s="1805" t="str">
        <f t="shared" si="256"/>
        <v/>
      </c>
      <c r="JR19" s="1805" t="str">
        <f t="shared" si="257"/>
        <v/>
      </c>
      <c r="JS19" s="1805" t="str">
        <f t="shared" si="258"/>
        <v/>
      </c>
      <c r="JT19" s="1805" t="str">
        <f t="shared" si="259"/>
        <v/>
      </c>
      <c r="JU19" s="1805" t="str">
        <f t="shared" si="260"/>
        <v/>
      </c>
      <c r="JV19" s="1805" t="str">
        <f t="shared" si="261"/>
        <v/>
      </c>
      <c r="JW19" s="1805" t="str">
        <f t="shared" si="262"/>
        <v/>
      </c>
      <c r="JX19" s="1805" t="str">
        <f t="shared" si="263"/>
        <v/>
      </c>
      <c r="JY19" s="1805" t="str">
        <f t="shared" si="264"/>
        <v/>
      </c>
      <c r="JZ19" s="1805" t="str">
        <f t="shared" si="265"/>
        <v/>
      </c>
      <c r="KA19" s="1805" t="str">
        <f t="shared" si="266"/>
        <v/>
      </c>
      <c r="KB19" s="1805" t="str">
        <f t="shared" si="267"/>
        <v/>
      </c>
      <c r="KC19" s="1805" t="str">
        <f t="shared" si="268"/>
        <v/>
      </c>
      <c r="KD19" s="1805" t="str">
        <f t="shared" si="269"/>
        <v/>
      </c>
      <c r="KE19" s="1805" t="str">
        <f t="shared" si="270"/>
        <v/>
      </c>
      <c r="KF19" s="1805" t="str">
        <f t="shared" si="271"/>
        <v/>
      </c>
      <c r="KG19" s="1805" t="str">
        <f t="shared" si="272"/>
        <v/>
      </c>
      <c r="KH19" s="1805" t="str">
        <f t="shared" si="273"/>
        <v/>
      </c>
      <c r="KI19" s="1805" t="str">
        <f t="shared" si="274"/>
        <v/>
      </c>
      <c r="KJ19" s="1805" t="str">
        <f t="shared" si="275"/>
        <v/>
      </c>
      <c r="KK19" s="1805" t="str">
        <f t="shared" si="276"/>
        <v/>
      </c>
      <c r="KL19" s="1805" t="str">
        <f t="shared" si="277"/>
        <v/>
      </c>
      <c r="KM19" s="1805" t="str">
        <f t="shared" si="278"/>
        <v/>
      </c>
      <c r="KN19" s="1805" t="str">
        <f t="shared" si="279"/>
        <v/>
      </c>
      <c r="KO19" s="1805" t="str">
        <f t="shared" si="280"/>
        <v/>
      </c>
      <c r="KP19" s="1805" t="str">
        <f t="shared" si="281"/>
        <v/>
      </c>
      <c r="KQ19" s="1805" t="str">
        <f t="shared" si="282"/>
        <v/>
      </c>
      <c r="KR19" s="1805" t="str">
        <f t="shared" si="283"/>
        <v/>
      </c>
      <c r="KS19" s="1805" t="str">
        <f t="shared" si="284"/>
        <v/>
      </c>
      <c r="KT19" s="1805">
        <f t="shared" si="285"/>
        <v>5</v>
      </c>
      <c r="KU19" s="1805" t="str">
        <f t="shared" si="286"/>
        <v/>
      </c>
      <c r="KV19" s="1805" t="str">
        <f t="shared" si="287"/>
        <v/>
      </c>
      <c r="KW19" s="1805" t="str">
        <f t="shared" si="288"/>
        <v/>
      </c>
      <c r="KX19" s="1805" t="str">
        <f t="shared" si="289"/>
        <v/>
      </c>
      <c r="KY19" s="1805" t="str">
        <f t="shared" si="290"/>
        <v/>
      </c>
      <c r="KZ19" s="1805" t="str">
        <f t="shared" si="291"/>
        <v/>
      </c>
      <c r="LA19" s="1805" t="str">
        <f t="shared" si="292"/>
        <v/>
      </c>
      <c r="LB19" s="1805" t="str">
        <f t="shared" si="293"/>
        <v/>
      </c>
      <c r="LC19" s="1805" t="str">
        <f t="shared" si="294"/>
        <v/>
      </c>
      <c r="LD19" s="1805" t="str">
        <f t="shared" si="295"/>
        <v/>
      </c>
      <c r="LE19" s="1805" t="str">
        <f t="shared" si="296"/>
        <v/>
      </c>
      <c r="LF19" s="1805" t="str">
        <f t="shared" si="297"/>
        <v/>
      </c>
      <c r="LG19" s="1794" t="str">
        <f t="shared" si="298"/>
        <v/>
      </c>
      <c r="LH19" s="1794" t="str">
        <f t="shared" si="299"/>
        <v/>
      </c>
      <c r="LI19" s="1794" t="str">
        <f t="shared" si="300"/>
        <v/>
      </c>
      <c r="LJ19" s="1794" t="str">
        <f t="shared" si="301"/>
        <v/>
      </c>
      <c r="LK19" s="1794"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7">
        <f t="shared" si="323"/>
        <v>0</v>
      </c>
      <c r="MG19" s="1657">
        <f t="shared" si="324"/>
        <v>0</v>
      </c>
      <c r="MH19" s="1657">
        <f t="shared" si="325"/>
        <v>0</v>
      </c>
      <c r="MI19" s="1657">
        <f t="shared" si="326"/>
        <v>0</v>
      </c>
      <c r="MJ19" s="1657">
        <f t="shared" si="327"/>
        <v>0</v>
      </c>
      <c r="MK19" s="1657">
        <f t="shared" si="333"/>
        <v>0</v>
      </c>
      <c r="ML19" s="1657">
        <f t="shared" si="334"/>
        <v>0</v>
      </c>
      <c r="MM19" s="1657">
        <f t="shared" si="335"/>
        <v>5</v>
      </c>
      <c r="MN19" s="1657">
        <f t="shared" si="336"/>
        <v>0</v>
      </c>
      <c r="MO19" s="1657">
        <f t="shared" si="337"/>
        <v>0</v>
      </c>
      <c r="MP19" s="1657">
        <f t="shared" si="328"/>
        <v>0</v>
      </c>
      <c r="MQ19" s="1657">
        <f t="shared" si="329"/>
        <v>0</v>
      </c>
      <c r="MR19" s="1657">
        <f t="shared" si="330"/>
        <v>0</v>
      </c>
      <c r="MS19" s="1657">
        <f t="shared" si="331"/>
        <v>0</v>
      </c>
      <c r="MT19" s="1657">
        <f t="shared" si="332"/>
        <v>0</v>
      </c>
      <c r="NP19" s="1630" t="s">
        <v>4312</v>
      </c>
      <c r="NQ19" s="2480">
        <v>19</v>
      </c>
    </row>
    <row r="20" spans="1:381" ht="13.9" customHeight="1">
      <c r="A20" s="86">
        <f t="shared" si="0"/>
        <v>1</v>
      </c>
      <c r="B20" s="1060">
        <v>50</v>
      </c>
      <c r="C20" s="132">
        <v>3</v>
      </c>
      <c r="D20" s="1660">
        <v>2</v>
      </c>
      <c r="E20" s="133">
        <v>5</v>
      </c>
      <c r="F20" s="133">
        <v>1200</v>
      </c>
      <c r="G20" s="133">
        <v>1397</v>
      </c>
      <c r="H20" s="133">
        <f>1210+J20</f>
        <v>1394</v>
      </c>
      <c r="I20" s="133"/>
      <c r="J20" s="743">
        <f>IF(C20="",0,HLOOKUP(C20,'Part IV-Utility Allowances'!$I$11:$M$22,12))</f>
        <v>184</v>
      </c>
      <c r="K20" s="632"/>
      <c r="L20" s="460">
        <f t="shared" si="1"/>
        <v>1210</v>
      </c>
      <c r="M20" s="460">
        <f t="shared" si="2"/>
        <v>6050</v>
      </c>
      <c r="N20" s="683"/>
      <c r="O20" s="1594" t="s">
        <v>5146</v>
      </c>
      <c r="P20" s="683" t="s">
        <v>2114</v>
      </c>
      <c r="Q20" s="134" t="s">
        <v>2644</v>
      </c>
      <c r="R20" s="726"/>
      <c r="S20" s="727"/>
      <c r="T20" s="3453"/>
      <c r="U20" s="3454"/>
      <c r="V20" s="3454"/>
      <c r="W20" s="3455"/>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f t="shared" si="21"/>
        <v>5</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f t="shared" si="136"/>
        <v>6000</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f t="shared" si="171"/>
        <v>5</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5" t="str">
        <f t="shared" si="213"/>
        <v/>
      </c>
      <c r="IA20" s="1805" t="str">
        <f t="shared" si="214"/>
        <v/>
      </c>
      <c r="IB20" s="1805" t="str">
        <f t="shared" si="215"/>
        <v/>
      </c>
      <c r="IC20" s="1805">
        <f t="shared" si="216"/>
        <v>5</v>
      </c>
      <c r="ID20" s="1805" t="str">
        <f t="shared" si="217"/>
        <v/>
      </c>
      <c r="IE20" s="1805" t="str">
        <f t="shared" si="218"/>
        <v/>
      </c>
      <c r="IF20" s="1805" t="str">
        <f t="shared" si="219"/>
        <v/>
      </c>
      <c r="IG20" s="1805" t="str">
        <f t="shared" si="220"/>
        <v/>
      </c>
      <c r="IH20" s="1805" t="str">
        <f t="shared" si="221"/>
        <v/>
      </c>
      <c r="II20" s="1805" t="str">
        <f t="shared" si="222"/>
        <v/>
      </c>
      <c r="IJ20" s="1805" t="str">
        <f t="shared" si="223"/>
        <v/>
      </c>
      <c r="IK20" s="1805" t="str">
        <f t="shared" si="224"/>
        <v/>
      </c>
      <c r="IL20" s="1805" t="str">
        <f t="shared" si="225"/>
        <v/>
      </c>
      <c r="IM20" s="1805" t="str">
        <f t="shared" si="226"/>
        <v/>
      </c>
      <c r="IN20" s="1805" t="str">
        <f t="shared" si="227"/>
        <v/>
      </c>
      <c r="IO20" s="1805" t="str">
        <f t="shared" si="228"/>
        <v/>
      </c>
      <c r="IP20" s="1805" t="str">
        <f t="shared" si="229"/>
        <v/>
      </c>
      <c r="IQ20" s="1805" t="str">
        <f t="shared" si="230"/>
        <v/>
      </c>
      <c r="IR20" s="1805" t="str">
        <f t="shared" si="231"/>
        <v/>
      </c>
      <c r="IS20" s="1805" t="str">
        <f t="shared" si="232"/>
        <v/>
      </c>
      <c r="IT20" s="1805" t="str">
        <f t="shared" si="233"/>
        <v/>
      </c>
      <c r="IU20" s="1805" t="str">
        <f t="shared" si="234"/>
        <v/>
      </c>
      <c r="IV20" s="1805" t="str">
        <f t="shared" si="235"/>
        <v/>
      </c>
      <c r="IW20" s="1805" t="str">
        <f t="shared" si="236"/>
        <v/>
      </c>
      <c r="IX20" s="1805" t="str">
        <f t="shared" si="237"/>
        <v/>
      </c>
      <c r="IY20" s="1805" t="str">
        <f t="shared" si="238"/>
        <v/>
      </c>
      <c r="IZ20" s="1805" t="str">
        <f t="shared" si="239"/>
        <v/>
      </c>
      <c r="JA20" s="1805" t="str">
        <f t="shared" si="240"/>
        <v/>
      </c>
      <c r="JB20" s="1805" t="str">
        <f t="shared" si="241"/>
        <v/>
      </c>
      <c r="JC20" s="1805" t="str">
        <f t="shared" si="242"/>
        <v/>
      </c>
      <c r="JD20" s="1805" t="str">
        <f t="shared" si="243"/>
        <v/>
      </c>
      <c r="JE20" s="1805" t="str">
        <f t="shared" si="244"/>
        <v/>
      </c>
      <c r="JF20" s="1805" t="str">
        <f t="shared" si="245"/>
        <v/>
      </c>
      <c r="JG20" s="1805" t="str">
        <f t="shared" si="246"/>
        <v/>
      </c>
      <c r="JH20" s="1805" t="str">
        <f t="shared" si="247"/>
        <v/>
      </c>
      <c r="JI20" s="1805" t="str">
        <f t="shared" si="248"/>
        <v/>
      </c>
      <c r="JJ20" s="1805" t="str">
        <f t="shared" si="249"/>
        <v/>
      </c>
      <c r="JK20" s="1805" t="str">
        <f t="shared" si="250"/>
        <v/>
      </c>
      <c r="JL20" s="1805" t="str">
        <f t="shared" si="251"/>
        <v/>
      </c>
      <c r="JM20" s="1805" t="str">
        <f t="shared" si="252"/>
        <v/>
      </c>
      <c r="JN20" s="1805" t="str">
        <f t="shared" si="253"/>
        <v/>
      </c>
      <c r="JO20" s="1805" t="str">
        <f t="shared" si="254"/>
        <v/>
      </c>
      <c r="JP20" s="1805" t="str">
        <f t="shared" si="255"/>
        <v/>
      </c>
      <c r="JQ20" s="1805" t="str">
        <f t="shared" si="256"/>
        <v/>
      </c>
      <c r="JR20" s="1805" t="str">
        <f t="shared" si="257"/>
        <v/>
      </c>
      <c r="JS20" s="1805" t="str">
        <f t="shared" si="258"/>
        <v/>
      </c>
      <c r="JT20" s="1805" t="str">
        <f t="shared" si="259"/>
        <v/>
      </c>
      <c r="JU20" s="1805" t="str">
        <f t="shared" si="260"/>
        <v/>
      </c>
      <c r="JV20" s="1805" t="str">
        <f t="shared" si="261"/>
        <v/>
      </c>
      <c r="JW20" s="1805" t="str">
        <f t="shared" si="262"/>
        <v/>
      </c>
      <c r="JX20" s="1805" t="str">
        <f t="shared" si="263"/>
        <v/>
      </c>
      <c r="JY20" s="1805" t="str">
        <f t="shared" si="264"/>
        <v/>
      </c>
      <c r="JZ20" s="1805" t="str">
        <f t="shared" si="265"/>
        <v/>
      </c>
      <c r="KA20" s="1805" t="str">
        <f t="shared" si="266"/>
        <v/>
      </c>
      <c r="KB20" s="1805" t="str">
        <f t="shared" si="267"/>
        <v/>
      </c>
      <c r="KC20" s="1805" t="str">
        <f t="shared" si="268"/>
        <v/>
      </c>
      <c r="KD20" s="1805" t="str">
        <f t="shared" si="269"/>
        <v/>
      </c>
      <c r="KE20" s="1805" t="str">
        <f t="shared" si="270"/>
        <v/>
      </c>
      <c r="KF20" s="1805" t="str">
        <f t="shared" si="271"/>
        <v/>
      </c>
      <c r="KG20" s="1805" t="str">
        <f t="shared" si="272"/>
        <v/>
      </c>
      <c r="KH20" s="1805" t="str">
        <f t="shared" si="273"/>
        <v/>
      </c>
      <c r="KI20" s="1805" t="str">
        <f t="shared" si="274"/>
        <v/>
      </c>
      <c r="KJ20" s="1805" t="str">
        <f t="shared" si="275"/>
        <v/>
      </c>
      <c r="KK20" s="1805" t="str">
        <f t="shared" si="276"/>
        <v/>
      </c>
      <c r="KL20" s="1805" t="str">
        <f t="shared" si="277"/>
        <v/>
      </c>
      <c r="KM20" s="1805" t="str">
        <f t="shared" si="278"/>
        <v/>
      </c>
      <c r="KN20" s="1805" t="str">
        <f t="shared" si="279"/>
        <v/>
      </c>
      <c r="KO20" s="1805" t="str">
        <f t="shared" si="280"/>
        <v/>
      </c>
      <c r="KP20" s="1805" t="str">
        <f t="shared" si="281"/>
        <v/>
      </c>
      <c r="KQ20" s="1805" t="str">
        <f t="shared" si="282"/>
        <v/>
      </c>
      <c r="KR20" s="1805" t="str">
        <f t="shared" si="283"/>
        <v/>
      </c>
      <c r="KS20" s="1805" t="str">
        <f t="shared" si="284"/>
        <v/>
      </c>
      <c r="KT20" s="1805" t="str">
        <f t="shared" si="285"/>
        <v/>
      </c>
      <c r="KU20" s="1805">
        <f t="shared" si="286"/>
        <v>5</v>
      </c>
      <c r="KV20" s="1805" t="str">
        <f t="shared" si="287"/>
        <v/>
      </c>
      <c r="KW20" s="1805" t="str">
        <f t="shared" si="288"/>
        <v/>
      </c>
      <c r="KX20" s="1805" t="str">
        <f t="shared" si="289"/>
        <v/>
      </c>
      <c r="KY20" s="1805" t="str">
        <f t="shared" si="290"/>
        <v/>
      </c>
      <c r="KZ20" s="1805" t="str">
        <f t="shared" si="291"/>
        <v/>
      </c>
      <c r="LA20" s="1805" t="str">
        <f t="shared" si="292"/>
        <v/>
      </c>
      <c r="LB20" s="1805" t="str">
        <f t="shared" si="293"/>
        <v/>
      </c>
      <c r="LC20" s="1805" t="str">
        <f t="shared" si="294"/>
        <v/>
      </c>
      <c r="LD20" s="1805" t="str">
        <f t="shared" si="295"/>
        <v/>
      </c>
      <c r="LE20" s="1805" t="str">
        <f t="shared" si="296"/>
        <v/>
      </c>
      <c r="LF20" s="1805" t="str">
        <f t="shared" si="297"/>
        <v/>
      </c>
      <c r="LG20" s="1794" t="str">
        <f t="shared" si="298"/>
        <v/>
      </c>
      <c r="LH20" s="1794" t="str">
        <f t="shared" si="299"/>
        <v/>
      </c>
      <c r="LI20" s="1794" t="str">
        <f t="shared" si="300"/>
        <v/>
      </c>
      <c r="LJ20" s="1794" t="str">
        <f t="shared" si="301"/>
        <v/>
      </c>
      <c r="LK20" s="1794"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7">
        <f t="shared" si="323"/>
        <v>0</v>
      </c>
      <c r="MG20" s="1657">
        <f t="shared" si="324"/>
        <v>0</v>
      </c>
      <c r="MH20" s="1657">
        <f t="shared" si="325"/>
        <v>0</v>
      </c>
      <c r="MI20" s="1657">
        <f t="shared" si="326"/>
        <v>0</v>
      </c>
      <c r="MJ20" s="1657">
        <f t="shared" si="327"/>
        <v>0</v>
      </c>
      <c r="MK20" s="1657">
        <f t="shared" si="333"/>
        <v>0</v>
      </c>
      <c r="ML20" s="1657">
        <f t="shared" si="334"/>
        <v>0</v>
      </c>
      <c r="MM20" s="1657">
        <f t="shared" si="335"/>
        <v>0</v>
      </c>
      <c r="MN20" s="1657">
        <f t="shared" si="336"/>
        <v>5</v>
      </c>
      <c r="MO20" s="1657">
        <f t="shared" si="337"/>
        <v>0</v>
      </c>
      <c r="MP20" s="1657">
        <f t="shared" si="328"/>
        <v>0</v>
      </c>
      <c r="MQ20" s="1657">
        <f t="shared" si="329"/>
        <v>0</v>
      </c>
      <c r="MR20" s="1657">
        <f t="shared" si="330"/>
        <v>0</v>
      </c>
      <c r="MS20" s="1657">
        <f t="shared" si="331"/>
        <v>0</v>
      </c>
      <c r="MT20" s="1657">
        <f t="shared" si="332"/>
        <v>0</v>
      </c>
      <c r="NP20" s="1630" t="s">
        <v>4313</v>
      </c>
      <c r="NQ20" s="2481">
        <v>20</v>
      </c>
    </row>
    <row r="21" spans="1:381" ht="13.9" customHeight="1">
      <c r="A21" s="86">
        <f t="shared" si="0"/>
        <v>1</v>
      </c>
      <c r="B21" s="1060">
        <v>60</v>
      </c>
      <c r="C21" s="132">
        <v>1</v>
      </c>
      <c r="D21" s="1660">
        <v>1</v>
      </c>
      <c r="E21" s="133">
        <v>9</v>
      </c>
      <c r="F21" s="133">
        <v>700</v>
      </c>
      <c r="G21" s="133">
        <v>1209</v>
      </c>
      <c r="H21" s="133">
        <f>1050+J21</f>
        <v>1168</v>
      </c>
      <c r="I21" s="133"/>
      <c r="J21" s="743">
        <f>IF(C21="",0,HLOOKUP(C21,'Part IV-Utility Allowances'!$I$11:$M$22,12))</f>
        <v>118</v>
      </c>
      <c r="K21" s="632"/>
      <c r="L21" s="460">
        <f t="shared" si="1"/>
        <v>1050</v>
      </c>
      <c r="M21" s="460">
        <f t="shared" si="2"/>
        <v>9450</v>
      </c>
      <c r="N21" s="683"/>
      <c r="O21" s="1594" t="s">
        <v>5146</v>
      </c>
      <c r="P21" s="683" t="s">
        <v>2114</v>
      </c>
      <c r="Q21" s="134" t="s">
        <v>2644</v>
      </c>
      <c r="R21" s="726"/>
      <c r="S21" s="727"/>
      <c r="T21" s="3453"/>
      <c r="U21" s="3454"/>
      <c r="V21" s="3454"/>
      <c r="W21" s="3455"/>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f t="shared" si="14"/>
        <v>9</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f t="shared" si="129"/>
        <v>6300</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f t="shared" si="169"/>
        <v>9</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5" t="str">
        <f t="shared" si="213"/>
        <v/>
      </c>
      <c r="IA21" s="1805">
        <f t="shared" si="214"/>
        <v>9</v>
      </c>
      <c r="IB21" s="1805" t="str">
        <f t="shared" si="215"/>
        <v/>
      </c>
      <c r="IC21" s="1805" t="str">
        <f t="shared" si="216"/>
        <v/>
      </c>
      <c r="ID21" s="1805" t="str">
        <f t="shared" si="217"/>
        <v/>
      </c>
      <c r="IE21" s="1805" t="str">
        <f t="shared" si="218"/>
        <v/>
      </c>
      <c r="IF21" s="1805" t="str">
        <f t="shared" si="219"/>
        <v/>
      </c>
      <c r="IG21" s="1805" t="str">
        <f t="shared" si="220"/>
        <v/>
      </c>
      <c r="IH21" s="1805" t="str">
        <f t="shared" si="221"/>
        <v/>
      </c>
      <c r="II21" s="1805" t="str">
        <f t="shared" si="222"/>
        <v/>
      </c>
      <c r="IJ21" s="1805" t="str">
        <f t="shared" si="223"/>
        <v/>
      </c>
      <c r="IK21" s="1805" t="str">
        <f t="shared" si="224"/>
        <v/>
      </c>
      <c r="IL21" s="1805" t="str">
        <f t="shared" si="225"/>
        <v/>
      </c>
      <c r="IM21" s="1805" t="str">
        <f t="shared" si="226"/>
        <v/>
      </c>
      <c r="IN21" s="1805" t="str">
        <f t="shared" si="227"/>
        <v/>
      </c>
      <c r="IO21" s="1805" t="str">
        <f t="shared" si="228"/>
        <v/>
      </c>
      <c r="IP21" s="1805" t="str">
        <f t="shared" si="229"/>
        <v/>
      </c>
      <c r="IQ21" s="1805" t="str">
        <f t="shared" si="230"/>
        <v/>
      </c>
      <c r="IR21" s="1805" t="str">
        <f t="shared" si="231"/>
        <v/>
      </c>
      <c r="IS21" s="1805" t="str">
        <f t="shared" si="232"/>
        <v/>
      </c>
      <c r="IT21" s="1805" t="str">
        <f t="shared" si="233"/>
        <v/>
      </c>
      <c r="IU21" s="1805" t="str">
        <f t="shared" si="234"/>
        <v/>
      </c>
      <c r="IV21" s="1805" t="str">
        <f t="shared" si="235"/>
        <v/>
      </c>
      <c r="IW21" s="1805" t="str">
        <f t="shared" si="236"/>
        <v/>
      </c>
      <c r="IX21" s="1805" t="str">
        <f t="shared" si="237"/>
        <v/>
      </c>
      <c r="IY21" s="1805" t="str">
        <f t="shared" si="238"/>
        <v/>
      </c>
      <c r="IZ21" s="1805" t="str">
        <f t="shared" si="239"/>
        <v/>
      </c>
      <c r="JA21" s="1805" t="str">
        <f t="shared" si="240"/>
        <v/>
      </c>
      <c r="JB21" s="1805" t="str">
        <f t="shared" si="241"/>
        <v/>
      </c>
      <c r="JC21" s="1805" t="str">
        <f t="shared" si="242"/>
        <v/>
      </c>
      <c r="JD21" s="1805" t="str">
        <f t="shared" si="243"/>
        <v/>
      </c>
      <c r="JE21" s="1805" t="str">
        <f t="shared" si="244"/>
        <v/>
      </c>
      <c r="JF21" s="1805" t="str">
        <f t="shared" si="245"/>
        <v/>
      </c>
      <c r="JG21" s="1805" t="str">
        <f t="shared" si="246"/>
        <v/>
      </c>
      <c r="JH21" s="1805" t="str">
        <f t="shared" si="247"/>
        <v/>
      </c>
      <c r="JI21" s="1805" t="str">
        <f t="shared" si="248"/>
        <v/>
      </c>
      <c r="JJ21" s="1805" t="str">
        <f t="shared" si="249"/>
        <v/>
      </c>
      <c r="JK21" s="1805" t="str">
        <f t="shared" si="250"/>
        <v/>
      </c>
      <c r="JL21" s="1805" t="str">
        <f t="shared" si="251"/>
        <v/>
      </c>
      <c r="JM21" s="1805" t="str">
        <f t="shared" si="252"/>
        <v/>
      </c>
      <c r="JN21" s="1805" t="str">
        <f t="shared" si="253"/>
        <v/>
      </c>
      <c r="JO21" s="1805" t="str">
        <f t="shared" si="254"/>
        <v/>
      </c>
      <c r="JP21" s="1805" t="str">
        <f t="shared" si="255"/>
        <v/>
      </c>
      <c r="JQ21" s="1805" t="str">
        <f t="shared" si="256"/>
        <v/>
      </c>
      <c r="JR21" s="1805" t="str">
        <f t="shared" si="257"/>
        <v/>
      </c>
      <c r="JS21" s="1805" t="str">
        <f t="shared" si="258"/>
        <v/>
      </c>
      <c r="JT21" s="1805" t="str">
        <f t="shared" si="259"/>
        <v/>
      </c>
      <c r="JU21" s="1805" t="str">
        <f t="shared" si="260"/>
        <v/>
      </c>
      <c r="JV21" s="1805" t="str">
        <f t="shared" si="261"/>
        <v/>
      </c>
      <c r="JW21" s="1805" t="str">
        <f t="shared" si="262"/>
        <v/>
      </c>
      <c r="JX21" s="1805" t="str">
        <f t="shared" si="263"/>
        <v/>
      </c>
      <c r="JY21" s="1805" t="str">
        <f t="shared" si="264"/>
        <v/>
      </c>
      <c r="JZ21" s="1805" t="str">
        <f t="shared" si="265"/>
        <v/>
      </c>
      <c r="KA21" s="1805" t="str">
        <f t="shared" si="266"/>
        <v/>
      </c>
      <c r="KB21" s="1805" t="str">
        <f t="shared" si="267"/>
        <v/>
      </c>
      <c r="KC21" s="1805" t="str">
        <f t="shared" si="268"/>
        <v/>
      </c>
      <c r="KD21" s="1805" t="str">
        <f t="shared" si="269"/>
        <v/>
      </c>
      <c r="KE21" s="1805" t="str">
        <f t="shared" si="270"/>
        <v/>
      </c>
      <c r="KF21" s="1805" t="str">
        <f t="shared" si="271"/>
        <v/>
      </c>
      <c r="KG21" s="1805" t="str">
        <f t="shared" si="272"/>
        <v/>
      </c>
      <c r="KH21" s="1805" t="str">
        <f t="shared" si="273"/>
        <v/>
      </c>
      <c r="KI21" s="1805" t="str">
        <f t="shared" si="274"/>
        <v/>
      </c>
      <c r="KJ21" s="1805" t="str">
        <f t="shared" si="275"/>
        <v/>
      </c>
      <c r="KK21" s="1805" t="str">
        <f t="shared" si="276"/>
        <v/>
      </c>
      <c r="KL21" s="1805" t="str">
        <f t="shared" si="277"/>
        <v/>
      </c>
      <c r="KM21" s="1805" t="str">
        <f t="shared" si="278"/>
        <v/>
      </c>
      <c r="KN21" s="1805" t="str">
        <f t="shared" si="279"/>
        <v/>
      </c>
      <c r="KO21" s="1805" t="str">
        <f t="shared" si="280"/>
        <v/>
      </c>
      <c r="KP21" s="1805" t="str">
        <f t="shared" si="281"/>
        <v/>
      </c>
      <c r="KQ21" s="1805" t="str">
        <f t="shared" si="282"/>
        <v/>
      </c>
      <c r="KR21" s="1805" t="str">
        <f t="shared" si="283"/>
        <v/>
      </c>
      <c r="KS21" s="1805">
        <f t="shared" si="284"/>
        <v>9</v>
      </c>
      <c r="KT21" s="1805" t="str">
        <f t="shared" si="285"/>
        <v/>
      </c>
      <c r="KU21" s="1805" t="str">
        <f t="shared" si="286"/>
        <v/>
      </c>
      <c r="KV21" s="1805" t="str">
        <f t="shared" si="287"/>
        <v/>
      </c>
      <c r="KW21" s="1805" t="str">
        <f t="shared" si="288"/>
        <v/>
      </c>
      <c r="KX21" s="1805" t="str">
        <f t="shared" si="289"/>
        <v/>
      </c>
      <c r="KY21" s="1805" t="str">
        <f t="shared" si="290"/>
        <v/>
      </c>
      <c r="KZ21" s="1805" t="str">
        <f t="shared" si="291"/>
        <v/>
      </c>
      <c r="LA21" s="1805" t="str">
        <f t="shared" si="292"/>
        <v/>
      </c>
      <c r="LB21" s="1805" t="str">
        <f t="shared" si="293"/>
        <v/>
      </c>
      <c r="LC21" s="1805" t="str">
        <f t="shared" si="294"/>
        <v/>
      </c>
      <c r="LD21" s="1805" t="str">
        <f t="shared" si="295"/>
        <v/>
      </c>
      <c r="LE21" s="1805" t="str">
        <f t="shared" si="296"/>
        <v/>
      </c>
      <c r="LF21" s="1805" t="str">
        <f t="shared" si="297"/>
        <v/>
      </c>
      <c r="LG21" s="1794" t="str">
        <f t="shared" si="298"/>
        <v/>
      </c>
      <c r="LH21" s="1794" t="str">
        <f t="shared" si="299"/>
        <v/>
      </c>
      <c r="LI21" s="1794" t="str">
        <f t="shared" si="300"/>
        <v/>
      </c>
      <c r="LJ21" s="1794" t="str">
        <f t="shared" si="301"/>
        <v/>
      </c>
      <c r="LK21" s="1794"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7">
        <f t="shared" si="323"/>
        <v>0</v>
      </c>
      <c r="MG21" s="1657">
        <f t="shared" si="324"/>
        <v>0</v>
      </c>
      <c r="MH21" s="1657">
        <f t="shared" si="325"/>
        <v>0</v>
      </c>
      <c r="MI21" s="1657">
        <f t="shared" si="326"/>
        <v>0</v>
      </c>
      <c r="MJ21" s="1657">
        <f t="shared" si="327"/>
        <v>0</v>
      </c>
      <c r="MK21" s="1657">
        <f t="shared" si="333"/>
        <v>0</v>
      </c>
      <c r="ML21" s="1657">
        <f t="shared" si="334"/>
        <v>9</v>
      </c>
      <c r="MM21" s="1657">
        <f t="shared" si="335"/>
        <v>0</v>
      </c>
      <c r="MN21" s="1657">
        <f t="shared" si="336"/>
        <v>0</v>
      </c>
      <c r="MO21" s="1657">
        <f t="shared" si="337"/>
        <v>0</v>
      </c>
      <c r="MP21" s="1657">
        <f t="shared" si="328"/>
        <v>0</v>
      </c>
      <c r="MQ21" s="1657">
        <f t="shared" si="329"/>
        <v>0</v>
      </c>
      <c r="MR21" s="1657">
        <f t="shared" si="330"/>
        <v>0</v>
      </c>
      <c r="MS21" s="1657">
        <f t="shared" si="331"/>
        <v>0</v>
      </c>
      <c r="MT21" s="1657">
        <f t="shared" si="332"/>
        <v>0</v>
      </c>
      <c r="NP21" s="1630" t="s">
        <v>4314</v>
      </c>
      <c r="NQ21" s="2480">
        <v>21</v>
      </c>
    </row>
    <row r="22" spans="1:381" ht="13.9" customHeight="1">
      <c r="A22" s="86">
        <f t="shared" si="0"/>
        <v>1</v>
      </c>
      <c r="B22" s="1060">
        <v>60</v>
      </c>
      <c r="C22" s="132">
        <v>2</v>
      </c>
      <c r="D22" s="1660">
        <v>2</v>
      </c>
      <c r="E22" s="133">
        <v>19</v>
      </c>
      <c r="F22" s="133">
        <v>900</v>
      </c>
      <c r="G22" s="133">
        <v>1452</v>
      </c>
      <c r="H22" s="133">
        <f>1250+J22</f>
        <v>1398</v>
      </c>
      <c r="I22" s="133"/>
      <c r="J22" s="743">
        <f>IF(C22="",0,HLOOKUP(C22,'Part IV-Utility Allowances'!$I$11:$M$22,12))</f>
        <v>148</v>
      </c>
      <c r="K22" s="632"/>
      <c r="L22" s="460">
        <f t="shared" si="1"/>
        <v>1250</v>
      </c>
      <c r="M22" s="460">
        <f t="shared" si="2"/>
        <v>23750</v>
      </c>
      <c r="N22" s="683"/>
      <c r="O22" s="1594" t="s">
        <v>5146</v>
      </c>
      <c r="P22" s="683" t="s">
        <v>2114</v>
      </c>
      <c r="Q22" s="134" t="s">
        <v>2644</v>
      </c>
      <c r="R22" s="726"/>
      <c r="S22" s="727"/>
      <c r="T22" s="3453"/>
      <c r="U22" s="3454"/>
      <c r="V22" s="3454"/>
      <c r="W22" s="3455"/>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19</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17100</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19</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5" t="str">
        <f t="shared" si="213"/>
        <v/>
      </c>
      <c r="IA22" s="1805" t="str">
        <f t="shared" si="214"/>
        <v/>
      </c>
      <c r="IB22" s="1805">
        <f t="shared" si="215"/>
        <v>19</v>
      </c>
      <c r="IC22" s="1805" t="str">
        <f t="shared" si="216"/>
        <v/>
      </c>
      <c r="ID22" s="1805" t="str">
        <f t="shared" si="217"/>
        <v/>
      </c>
      <c r="IE22" s="1805" t="str">
        <f t="shared" si="218"/>
        <v/>
      </c>
      <c r="IF22" s="1805" t="str">
        <f t="shared" si="219"/>
        <v/>
      </c>
      <c r="IG22" s="1805" t="str">
        <f t="shared" si="220"/>
        <v/>
      </c>
      <c r="IH22" s="1805" t="str">
        <f t="shared" si="221"/>
        <v/>
      </c>
      <c r="II22" s="1805" t="str">
        <f t="shared" si="222"/>
        <v/>
      </c>
      <c r="IJ22" s="1805" t="str">
        <f t="shared" si="223"/>
        <v/>
      </c>
      <c r="IK22" s="1805" t="str">
        <f t="shared" si="224"/>
        <v/>
      </c>
      <c r="IL22" s="1805" t="str">
        <f t="shared" si="225"/>
        <v/>
      </c>
      <c r="IM22" s="1805" t="str">
        <f t="shared" si="226"/>
        <v/>
      </c>
      <c r="IN22" s="1805" t="str">
        <f t="shared" si="227"/>
        <v/>
      </c>
      <c r="IO22" s="1805" t="str">
        <f t="shared" si="228"/>
        <v/>
      </c>
      <c r="IP22" s="1805" t="str">
        <f t="shared" si="229"/>
        <v/>
      </c>
      <c r="IQ22" s="1805" t="str">
        <f t="shared" si="230"/>
        <v/>
      </c>
      <c r="IR22" s="1805" t="str">
        <f t="shared" si="231"/>
        <v/>
      </c>
      <c r="IS22" s="1805" t="str">
        <f t="shared" si="232"/>
        <v/>
      </c>
      <c r="IT22" s="1805" t="str">
        <f t="shared" si="233"/>
        <v/>
      </c>
      <c r="IU22" s="1805" t="str">
        <f t="shared" si="234"/>
        <v/>
      </c>
      <c r="IV22" s="1805" t="str">
        <f t="shared" si="235"/>
        <v/>
      </c>
      <c r="IW22" s="1805" t="str">
        <f t="shared" si="236"/>
        <v/>
      </c>
      <c r="IX22" s="1805" t="str">
        <f t="shared" si="237"/>
        <v/>
      </c>
      <c r="IY22" s="1805" t="str">
        <f t="shared" si="238"/>
        <v/>
      </c>
      <c r="IZ22" s="1805" t="str">
        <f t="shared" si="239"/>
        <v/>
      </c>
      <c r="JA22" s="1805" t="str">
        <f t="shared" si="240"/>
        <v/>
      </c>
      <c r="JB22" s="1805" t="str">
        <f t="shared" si="241"/>
        <v/>
      </c>
      <c r="JC22" s="1805" t="str">
        <f t="shared" si="242"/>
        <v/>
      </c>
      <c r="JD22" s="1805" t="str">
        <f t="shared" si="243"/>
        <v/>
      </c>
      <c r="JE22" s="1805" t="str">
        <f t="shared" si="244"/>
        <v/>
      </c>
      <c r="JF22" s="1805" t="str">
        <f t="shared" si="245"/>
        <v/>
      </c>
      <c r="JG22" s="1805" t="str">
        <f t="shared" si="246"/>
        <v/>
      </c>
      <c r="JH22" s="1805" t="str">
        <f t="shared" si="247"/>
        <v/>
      </c>
      <c r="JI22" s="1805" t="str">
        <f t="shared" si="248"/>
        <v/>
      </c>
      <c r="JJ22" s="1805" t="str">
        <f t="shared" si="249"/>
        <v/>
      </c>
      <c r="JK22" s="1805" t="str">
        <f t="shared" si="250"/>
        <v/>
      </c>
      <c r="JL22" s="1805" t="str">
        <f t="shared" si="251"/>
        <v/>
      </c>
      <c r="JM22" s="1805" t="str">
        <f t="shared" si="252"/>
        <v/>
      </c>
      <c r="JN22" s="1805" t="str">
        <f t="shared" si="253"/>
        <v/>
      </c>
      <c r="JO22" s="1805" t="str">
        <f t="shared" si="254"/>
        <v/>
      </c>
      <c r="JP22" s="1805" t="str">
        <f t="shared" si="255"/>
        <v/>
      </c>
      <c r="JQ22" s="1805" t="str">
        <f t="shared" si="256"/>
        <v/>
      </c>
      <c r="JR22" s="1805" t="str">
        <f t="shared" si="257"/>
        <v/>
      </c>
      <c r="JS22" s="1805" t="str">
        <f t="shared" si="258"/>
        <v/>
      </c>
      <c r="JT22" s="1805" t="str">
        <f t="shared" si="259"/>
        <v/>
      </c>
      <c r="JU22" s="1805" t="str">
        <f t="shared" si="260"/>
        <v/>
      </c>
      <c r="JV22" s="1805" t="str">
        <f t="shared" si="261"/>
        <v/>
      </c>
      <c r="JW22" s="1805" t="str">
        <f t="shared" si="262"/>
        <v/>
      </c>
      <c r="JX22" s="1805" t="str">
        <f t="shared" si="263"/>
        <v/>
      </c>
      <c r="JY22" s="1805" t="str">
        <f t="shared" si="264"/>
        <v/>
      </c>
      <c r="JZ22" s="1805" t="str">
        <f t="shared" si="265"/>
        <v/>
      </c>
      <c r="KA22" s="1805" t="str">
        <f t="shared" si="266"/>
        <v/>
      </c>
      <c r="KB22" s="1805" t="str">
        <f t="shared" si="267"/>
        <v/>
      </c>
      <c r="KC22" s="1805" t="str">
        <f t="shared" si="268"/>
        <v/>
      </c>
      <c r="KD22" s="1805" t="str">
        <f t="shared" si="269"/>
        <v/>
      </c>
      <c r="KE22" s="1805" t="str">
        <f t="shared" si="270"/>
        <v/>
      </c>
      <c r="KF22" s="1805" t="str">
        <f t="shared" si="271"/>
        <v/>
      </c>
      <c r="KG22" s="1805" t="str">
        <f t="shared" si="272"/>
        <v/>
      </c>
      <c r="KH22" s="1805" t="str">
        <f t="shared" si="273"/>
        <v/>
      </c>
      <c r="KI22" s="1805" t="str">
        <f t="shared" si="274"/>
        <v/>
      </c>
      <c r="KJ22" s="1805" t="str">
        <f t="shared" si="275"/>
        <v/>
      </c>
      <c r="KK22" s="1805" t="str">
        <f t="shared" si="276"/>
        <v/>
      </c>
      <c r="KL22" s="1805" t="str">
        <f t="shared" si="277"/>
        <v/>
      </c>
      <c r="KM22" s="1805" t="str">
        <f t="shared" si="278"/>
        <v/>
      </c>
      <c r="KN22" s="1805" t="str">
        <f t="shared" si="279"/>
        <v/>
      </c>
      <c r="KO22" s="1805" t="str">
        <f t="shared" si="280"/>
        <v/>
      </c>
      <c r="KP22" s="1805" t="str">
        <f t="shared" si="281"/>
        <v/>
      </c>
      <c r="KQ22" s="1805" t="str">
        <f t="shared" si="282"/>
        <v/>
      </c>
      <c r="KR22" s="1805" t="str">
        <f t="shared" si="283"/>
        <v/>
      </c>
      <c r="KS22" s="1805" t="str">
        <f t="shared" si="284"/>
        <v/>
      </c>
      <c r="KT22" s="1805">
        <f t="shared" si="285"/>
        <v>19</v>
      </c>
      <c r="KU22" s="1805" t="str">
        <f t="shared" si="286"/>
        <v/>
      </c>
      <c r="KV22" s="1805" t="str">
        <f t="shared" si="287"/>
        <v/>
      </c>
      <c r="KW22" s="1805" t="str">
        <f t="shared" si="288"/>
        <v/>
      </c>
      <c r="KX22" s="1805" t="str">
        <f t="shared" si="289"/>
        <v/>
      </c>
      <c r="KY22" s="1805" t="str">
        <f t="shared" si="290"/>
        <v/>
      </c>
      <c r="KZ22" s="1805" t="str">
        <f t="shared" si="291"/>
        <v/>
      </c>
      <c r="LA22" s="1805" t="str">
        <f t="shared" si="292"/>
        <v/>
      </c>
      <c r="LB22" s="1805" t="str">
        <f t="shared" si="293"/>
        <v/>
      </c>
      <c r="LC22" s="1805" t="str">
        <f t="shared" si="294"/>
        <v/>
      </c>
      <c r="LD22" s="1805" t="str">
        <f t="shared" si="295"/>
        <v/>
      </c>
      <c r="LE22" s="1805" t="str">
        <f t="shared" si="296"/>
        <v/>
      </c>
      <c r="LF22" s="1805" t="str">
        <f t="shared" si="297"/>
        <v/>
      </c>
      <c r="LG22" s="1794" t="str">
        <f t="shared" si="298"/>
        <v/>
      </c>
      <c r="LH22" s="1794" t="str">
        <f t="shared" si="299"/>
        <v/>
      </c>
      <c r="LI22" s="1794" t="str">
        <f t="shared" si="300"/>
        <v/>
      </c>
      <c r="LJ22" s="1794" t="str">
        <f t="shared" si="301"/>
        <v/>
      </c>
      <c r="LK22" s="1794"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7">
        <f t="shared" si="323"/>
        <v>0</v>
      </c>
      <c r="MG22" s="1657">
        <f t="shared" si="324"/>
        <v>0</v>
      </c>
      <c r="MH22" s="1657">
        <f t="shared" si="325"/>
        <v>0</v>
      </c>
      <c r="MI22" s="1657">
        <f t="shared" si="326"/>
        <v>0</v>
      </c>
      <c r="MJ22" s="1657">
        <f t="shared" si="327"/>
        <v>0</v>
      </c>
      <c r="MK22" s="1657">
        <f t="shared" si="333"/>
        <v>0</v>
      </c>
      <c r="ML22" s="1657">
        <f t="shared" si="334"/>
        <v>0</v>
      </c>
      <c r="MM22" s="1657">
        <f t="shared" si="335"/>
        <v>19</v>
      </c>
      <c r="MN22" s="1657">
        <f t="shared" si="336"/>
        <v>0</v>
      </c>
      <c r="MO22" s="1657">
        <f t="shared" si="337"/>
        <v>0</v>
      </c>
      <c r="MP22" s="1657">
        <f t="shared" si="328"/>
        <v>0</v>
      </c>
      <c r="MQ22" s="1657">
        <f t="shared" si="329"/>
        <v>0</v>
      </c>
      <c r="MR22" s="1657">
        <f t="shared" si="330"/>
        <v>0</v>
      </c>
      <c r="MS22" s="1657">
        <f t="shared" si="331"/>
        <v>0</v>
      </c>
      <c r="MT22" s="1657">
        <f t="shared" si="332"/>
        <v>0</v>
      </c>
      <c r="NP22" s="1630" t="s">
        <v>4315</v>
      </c>
      <c r="NQ22" s="2478">
        <v>22</v>
      </c>
    </row>
    <row r="23" spans="1:381" ht="13.9" customHeight="1">
      <c r="A23" s="86">
        <f t="shared" si="0"/>
        <v>1</v>
      </c>
      <c r="B23" s="1060">
        <v>60</v>
      </c>
      <c r="C23" s="132">
        <v>3</v>
      </c>
      <c r="D23" s="1660">
        <v>2</v>
      </c>
      <c r="E23" s="133">
        <v>19</v>
      </c>
      <c r="F23" s="133">
        <v>1200</v>
      </c>
      <c r="G23" s="133">
        <v>1677</v>
      </c>
      <c r="H23" s="133">
        <f>1400+J23</f>
        <v>1584</v>
      </c>
      <c r="I23" s="133"/>
      <c r="J23" s="743">
        <f>IF(C23="",0,HLOOKUP(C23,'Part IV-Utility Allowances'!$I$11:$M$22,12))</f>
        <v>184</v>
      </c>
      <c r="K23" s="632"/>
      <c r="L23" s="460">
        <f t="shared" si="1"/>
        <v>1400</v>
      </c>
      <c r="M23" s="460">
        <f t="shared" si="2"/>
        <v>26600</v>
      </c>
      <c r="N23" s="683"/>
      <c r="O23" s="1594" t="s">
        <v>5146</v>
      </c>
      <c r="P23" s="683" t="s">
        <v>2114</v>
      </c>
      <c r="Q23" s="134" t="s">
        <v>2644</v>
      </c>
      <c r="R23" s="726"/>
      <c r="S23" s="727"/>
      <c r="T23" s="3453"/>
      <c r="U23" s="3454"/>
      <c r="V23" s="3454"/>
      <c r="W23" s="3455"/>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f t="shared" si="16"/>
        <v>19</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f t="shared" si="131"/>
        <v>22800</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f t="shared" si="171"/>
        <v>19</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5" t="str">
        <f t="shared" si="213"/>
        <v/>
      </c>
      <c r="IA23" s="1805" t="str">
        <f t="shared" si="214"/>
        <v/>
      </c>
      <c r="IB23" s="1805" t="str">
        <f t="shared" si="215"/>
        <v/>
      </c>
      <c r="IC23" s="1805">
        <f t="shared" si="216"/>
        <v>19</v>
      </c>
      <c r="ID23" s="1805" t="str">
        <f t="shared" si="217"/>
        <v/>
      </c>
      <c r="IE23" s="1805" t="str">
        <f t="shared" si="218"/>
        <v/>
      </c>
      <c r="IF23" s="1805" t="str">
        <f t="shared" si="219"/>
        <v/>
      </c>
      <c r="IG23" s="1805" t="str">
        <f t="shared" si="220"/>
        <v/>
      </c>
      <c r="IH23" s="1805" t="str">
        <f t="shared" si="221"/>
        <v/>
      </c>
      <c r="II23" s="1805" t="str">
        <f t="shared" si="222"/>
        <v/>
      </c>
      <c r="IJ23" s="1805" t="str">
        <f t="shared" si="223"/>
        <v/>
      </c>
      <c r="IK23" s="1805" t="str">
        <f t="shared" si="224"/>
        <v/>
      </c>
      <c r="IL23" s="1805" t="str">
        <f t="shared" si="225"/>
        <v/>
      </c>
      <c r="IM23" s="1805" t="str">
        <f t="shared" si="226"/>
        <v/>
      </c>
      <c r="IN23" s="1805" t="str">
        <f t="shared" si="227"/>
        <v/>
      </c>
      <c r="IO23" s="1805" t="str">
        <f t="shared" si="228"/>
        <v/>
      </c>
      <c r="IP23" s="1805" t="str">
        <f t="shared" si="229"/>
        <v/>
      </c>
      <c r="IQ23" s="1805" t="str">
        <f t="shared" si="230"/>
        <v/>
      </c>
      <c r="IR23" s="1805" t="str">
        <f t="shared" si="231"/>
        <v/>
      </c>
      <c r="IS23" s="1805" t="str">
        <f t="shared" si="232"/>
        <v/>
      </c>
      <c r="IT23" s="1805" t="str">
        <f t="shared" si="233"/>
        <v/>
      </c>
      <c r="IU23" s="1805" t="str">
        <f t="shared" si="234"/>
        <v/>
      </c>
      <c r="IV23" s="1805" t="str">
        <f t="shared" si="235"/>
        <v/>
      </c>
      <c r="IW23" s="1805" t="str">
        <f t="shared" si="236"/>
        <v/>
      </c>
      <c r="IX23" s="1805" t="str">
        <f t="shared" si="237"/>
        <v/>
      </c>
      <c r="IY23" s="1805" t="str">
        <f t="shared" si="238"/>
        <v/>
      </c>
      <c r="IZ23" s="1805" t="str">
        <f t="shared" si="239"/>
        <v/>
      </c>
      <c r="JA23" s="1805" t="str">
        <f t="shared" si="240"/>
        <v/>
      </c>
      <c r="JB23" s="1805" t="str">
        <f t="shared" si="241"/>
        <v/>
      </c>
      <c r="JC23" s="1805" t="str">
        <f t="shared" si="242"/>
        <v/>
      </c>
      <c r="JD23" s="1805" t="str">
        <f t="shared" si="243"/>
        <v/>
      </c>
      <c r="JE23" s="1805" t="str">
        <f t="shared" si="244"/>
        <v/>
      </c>
      <c r="JF23" s="1805" t="str">
        <f t="shared" si="245"/>
        <v/>
      </c>
      <c r="JG23" s="1805" t="str">
        <f t="shared" si="246"/>
        <v/>
      </c>
      <c r="JH23" s="1805" t="str">
        <f t="shared" si="247"/>
        <v/>
      </c>
      <c r="JI23" s="1805" t="str">
        <f t="shared" si="248"/>
        <v/>
      </c>
      <c r="JJ23" s="1805" t="str">
        <f t="shared" si="249"/>
        <v/>
      </c>
      <c r="JK23" s="1805" t="str">
        <f t="shared" si="250"/>
        <v/>
      </c>
      <c r="JL23" s="1805" t="str">
        <f t="shared" si="251"/>
        <v/>
      </c>
      <c r="JM23" s="1805" t="str">
        <f t="shared" si="252"/>
        <v/>
      </c>
      <c r="JN23" s="1805" t="str">
        <f t="shared" si="253"/>
        <v/>
      </c>
      <c r="JO23" s="1805" t="str">
        <f t="shared" si="254"/>
        <v/>
      </c>
      <c r="JP23" s="1805" t="str">
        <f t="shared" si="255"/>
        <v/>
      </c>
      <c r="JQ23" s="1805" t="str">
        <f t="shared" si="256"/>
        <v/>
      </c>
      <c r="JR23" s="1805" t="str">
        <f t="shared" si="257"/>
        <v/>
      </c>
      <c r="JS23" s="1805" t="str">
        <f t="shared" si="258"/>
        <v/>
      </c>
      <c r="JT23" s="1805" t="str">
        <f t="shared" si="259"/>
        <v/>
      </c>
      <c r="JU23" s="1805" t="str">
        <f t="shared" si="260"/>
        <v/>
      </c>
      <c r="JV23" s="1805" t="str">
        <f t="shared" si="261"/>
        <v/>
      </c>
      <c r="JW23" s="1805" t="str">
        <f t="shared" si="262"/>
        <v/>
      </c>
      <c r="JX23" s="1805" t="str">
        <f t="shared" si="263"/>
        <v/>
      </c>
      <c r="JY23" s="1805" t="str">
        <f t="shared" si="264"/>
        <v/>
      </c>
      <c r="JZ23" s="1805" t="str">
        <f t="shared" si="265"/>
        <v/>
      </c>
      <c r="KA23" s="1805" t="str">
        <f t="shared" si="266"/>
        <v/>
      </c>
      <c r="KB23" s="1805" t="str">
        <f t="shared" si="267"/>
        <v/>
      </c>
      <c r="KC23" s="1805" t="str">
        <f t="shared" si="268"/>
        <v/>
      </c>
      <c r="KD23" s="1805" t="str">
        <f t="shared" si="269"/>
        <v/>
      </c>
      <c r="KE23" s="1805" t="str">
        <f t="shared" si="270"/>
        <v/>
      </c>
      <c r="KF23" s="1805" t="str">
        <f t="shared" si="271"/>
        <v/>
      </c>
      <c r="KG23" s="1805" t="str">
        <f t="shared" si="272"/>
        <v/>
      </c>
      <c r="KH23" s="1805" t="str">
        <f t="shared" si="273"/>
        <v/>
      </c>
      <c r="KI23" s="1805" t="str">
        <f t="shared" si="274"/>
        <v/>
      </c>
      <c r="KJ23" s="1805" t="str">
        <f t="shared" si="275"/>
        <v/>
      </c>
      <c r="KK23" s="1805" t="str">
        <f t="shared" si="276"/>
        <v/>
      </c>
      <c r="KL23" s="1805" t="str">
        <f t="shared" si="277"/>
        <v/>
      </c>
      <c r="KM23" s="1805" t="str">
        <f t="shared" si="278"/>
        <v/>
      </c>
      <c r="KN23" s="1805" t="str">
        <f t="shared" si="279"/>
        <v/>
      </c>
      <c r="KO23" s="1805" t="str">
        <f t="shared" si="280"/>
        <v/>
      </c>
      <c r="KP23" s="1805" t="str">
        <f t="shared" si="281"/>
        <v/>
      </c>
      <c r="KQ23" s="1805" t="str">
        <f t="shared" si="282"/>
        <v/>
      </c>
      <c r="KR23" s="1805" t="str">
        <f t="shared" si="283"/>
        <v/>
      </c>
      <c r="KS23" s="1805" t="str">
        <f t="shared" si="284"/>
        <v/>
      </c>
      <c r="KT23" s="1805" t="str">
        <f t="shared" si="285"/>
        <v/>
      </c>
      <c r="KU23" s="1805">
        <f t="shared" si="286"/>
        <v>19</v>
      </c>
      <c r="KV23" s="1805" t="str">
        <f t="shared" si="287"/>
        <v/>
      </c>
      <c r="KW23" s="1805" t="str">
        <f t="shared" si="288"/>
        <v/>
      </c>
      <c r="KX23" s="1805" t="str">
        <f t="shared" si="289"/>
        <v/>
      </c>
      <c r="KY23" s="1805" t="str">
        <f t="shared" si="290"/>
        <v/>
      </c>
      <c r="KZ23" s="1805" t="str">
        <f t="shared" si="291"/>
        <v/>
      </c>
      <c r="LA23" s="1805" t="str">
        <f t="shared" si="292"/>
        <v/>
      </c>
      <c r="LB23" s="1805" t="str">
        <f t="shared" si="293"/>
        <v/>
      </c>
      <c r="LC23" s="1805" t="str">
        <f t="shared" si="294"/>
        <v/>
      </c>
      <c r="LD23" s="1805" t="str">
        <f t="shared" si="295"/>
        <v/>
      </c>
      <c r="LE23" s="1805" t="str">
        <f t="shared" si="296"/>
        <v/>
      </c>
      <c r="LF23" s="1805" t="str">
        <f t="shared" si="297"/>
        <v/>
      </c>
      <c r="LG23" s="1794" t="str">
        <f t="shared" si="298"/>
        <v/>
      </c>
      <c r="LH23" s="1794" t="str">
        <f t="shared" si="299"/>
        <v/>
      </c>
      <c r="LI23" s="1794" t="str">
        <f t="shared" si="300"/>
        <v/>
      </c>
      <c r="LJ23" s="1794" t="str">
        <f t="shared" si="301"/>
        <v/>
      </c>
      <c r="LK23" s="1794"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7">
        <f t="shared" si="323"/>
        <v>0</v>
      </c>
      <c r="MG23" s="1657">
        <f t="shared" si="324"/>
        <v>0</v>
      </c>
      <c r="MH23" s="1657">
        <f t="shared" si="325"/>
        <v>0</v>
      </c>
      <c r="MI23" s="1657">
        <f t="shared" si="326"/>
        <v>0</v>
      </c>
      <c r="MJ23" s="1657">
        <f t="shared" si="327"/>
        <v>0</v>
      </c>
      <c r="MK23" s="1657">
        <f t="shared" si="333"/>
        <v>0</v>
      </c>
      <c r="ML23" s="1657">
        <f t="shared" si="334"/>
        <v>0</v>
      </c>
      <c r="MM23" s="1657">
        <f t="shared" si="335"/>
        <v>0</v>
      </c>
      <c r="MN23" s="1657">
        <f t="shared" si="336"/>
        <v>19</v>
      </c>
      <c r="MO23" s="1657">
        <f t="shared" si="337"/>
        <v>0</v>
      </c>
      <c r="MP23" s="1657">
        <f t="shared" si="328"/>
        <v>0</v>
      </c>
      <c r="MQ23" s="1657">
        <f t="shared" si="329"/>
        <v>0</v>
      </c>
      <c r="MR23" s="1657">
        <f t="shared" si="330"/>
        <v>0</v>
      </c>
      <c r="MS23" s="1657">
        <f t="shared" si="331"/>
        <v>0</v>
      </c>
      <c r="MT23" s="1657">
        <f t="shared" si="332"/>
        <v>0</v>
      </c>
      <c r="NP23" s="1630" t="s">
        <v>4316</v>
      </c>
      <c r="NQ23" s="2480">
        <v>23</v>
      </c>
    </row>
    <row r="24" spans="1:381" ht="13.9" customHeight="1">
      <c r="A24" s="86" t="str">
        <f t="shared" si="0"/>
        <v/>
      </c>
      <c r="B24" s="1060"/>
      <c r="C24" s="132"/>
      <c r="D24" s="1660"/>
      <c r="E24" s="133"/>
      <c r="F24" s="133"/>
      <c r="G24" s="133"/>
      <c r="H24" s="133"/>
      <c r="I24" s="133"/>
      <c r="J24" s="743">
        <f>IF(C24="",0,HLOOKUP(C24,'Part IV-Utility Allowances'!$I$11:$M$22,12))</f>
        <v>0</v>
      </c>
      <c r="K24" s="632"/>
      <c r="L24" s="460">
        <f t="shared" si="1"/>
        <v>0</v>
      </c>
      <c r="M24" s="460">
        <f t="shared" si="2"/>
        <v>0</v>
      </c>
      <c r="N24" s="683"/>
      <c r="O24" s="1594"/>
      <c r="P24" s="683"/>
      <c r="Q24" s="134"/>
      <c r="R24" s="726"/>
      <c r="S24" s="727"/>
      <c r="T24" s="3453"/>
      <c r="U24" s="3454"/>
      <c r="V24" s="3454"/>
      <c r="W24" s="3455"/>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5" t="str">
        <f t="shared" si="213"/>
        <v/>
      </c>
      <c r="IA24" s="1805" t="str">
        <f t="shared" si="214"/>
        <v/>
      </c>
      <c r="IB24" s="1805" t="str">
        <f t="shared" si="215"/>
        <v/>
      </c>
      <c r="IC24" s="1805" t="str">
        <f t="shared" si="216"/>
        <v/>
      </c>
      <c r="ID24" s="1805" t="str">
        <f t="shared" si="217"/>
        <v/>
      </c>
      <c r="IE24" s="1805" t="str">
        <f t="shared" si="218"/>
        <v/>
      </c>
      <c r="IF24" s="1805" t="str">
        <f t="shared" si="219"/>
        <v/>
      </c>
      <c r="IG24" s="1805" t="str">
        <f t="shared" si="220"/>
        <v/>
      </c>
      <c r="IH24" s="1805" t="str">
        <f t="shared" si="221"/>
        <v/>
      </c>
      <c r="II24" s="1805" t="str">
        <f t="shared" si="222"/>
        <v/>
      </c>
      <c r="IJ24" s="1805" t="str">
        <f t="shared" si="223"/>
        <v/>
      </c>
      <c r="IK24" s="1805" t="str">
        <f t="shared" si="224"/>
        <v/>
      </c>
      <c r="IL24" s="1805" t="str">
        <f t="shared" si="225"/>
        <v/>
      </c>
      <c r="IM24" s="1805" t="str">
        <f t="shared" si="226"/>
        <v/>
      </c>
      <c r="IN24" s="1805" t="str">
        <f t="shared" si="227"/>
        <v/>
      </c>
      <c r="IO24" s="1805" t="str">
        <f t="shared" si="228"/>
        <v/>
      </c>
      <c r="IP24" s="1805" t="str">
        <f t="shared" si="229"/>
        <v/>
      </c>
      <c r="IQ24" s="1805" t="str">
        <f t="shared" si="230"/>
        <v/>
      </c>
      <c r="IR24" s="1805" t="str">
        <f t="shared" si="231"/>
        <v/>
      </c>
      <c r="IS24" s="1805" t="str">
        <f t="shared" si="232"/>
        <v/>
      </c>
      <c r="IT24" s="1805" t="str">
        <f t="shared" si="233"/>
        <v/>
      </c>
      <c r="IU24" s="1805" t="str">
        <f t="shared" si="234"/>
        <v/>
      </c>
      <c r="IV24" s="1805" t="str">
        <f t="shared" si="235"/>
        <v/>
      </c>
      <c r="IW24" s="1805" t="str">
        <f t="shared" si="236"/>
        <v/>
      </c>
      <c r="IX24" s="1805" t="str">
        <f t="shared" si="237"/>
        <v/>
      </c>
      <c r="IY24" s="1805" t="str">
        <f t="shared" si="238"/>
        <v/>
      </c>
      <c r="IZ24" s="1805" t="str">
        <f t="shared" si="239"/>
        <v/>
      </c>
      <c r="JA24" s="1805" t="str">
        <f t="shared" si="240"/>
        <v/>
      </c>
      <c r="JB24" s="1805" t="str">
        <f t="shared" si="241"/>
        <v/>
      </c>
      <c r="JC24" s="1805" t="str">
        <f t="shared" si="242"/>
        <v/>
      </c>
      <c r="JD24" s="1805" t="str">
        <f t="shared" si="243"/>
        <v/>
      </c>
      <c r="JE24" s="1805" t="str">
        <f t="shared" si="244"/>
        <v/>
      </c>
      <c r="JF24" s="1805" t="str">
        <f t="shared" si="245"/>
        <v/>
      </c>
      <c r="JG24" s="1805" t="str">
        <f t="shared" si="246"/>
        <v/>
      </c>
      <c r="JH24" s="1805" t="str">
        <f t="shared" si="247"/>
        <v/>
      </c>
      <c r="JI24" s="1805" t="str">
        <f t="shared" si="248"/>
        <v/>
      </c>
      <c r="JJ24" s="1805" t="str">
        <f t="shared" si="249"/>
        <v/>
      </c>
      <c r="JK24" s="1805" t="str">
        <f t="shared" si="250"/>
        <v/>
      </c>
      <c r="JL24" s="1805" t="str">
        <f t="shared" si="251"/>
        <v/>
      </c>
      <c r="JM24" s="1805" t="str">
        <f t="shared" si="252"/>
        <v/>
      </c>
      <c r="JN24" s="1805" t="str">
        <f t="shared" si="253"/>
        <v/>
      </c>
      <c r="JO24" s="1805" t="str">
        <f t="shared" si="254"/>
        <v/>
      </c>
      <c r="JP24" s="1805" t="str">
        <f t="shared" si="255"/>
        <v/>
      </c>
      <c r="JQ24" s="1805" t="str">
        <f t="shared" si="256"/>
        <v/>
      </c>
      <c r="JR24" s="1805" t="str">
        <f t="shared" si="257"/>
        <v/>
      </c>
      <c r="JS24" s="1805" t="str">
        <f t="shared" si="258"/>
        <v/>
      </c>
      <c r="JT24" s="1805" t="str">
        <f t="shared" si="259"/>
        <v/>
      </c>
      <c r="JU24" s="1805" t="str">
        <f t="shared" si="260"/>
        <v/>
      </c>
      <c r="JV24" s="1805" t="str">
        <f t="shared" si="261"/>
        <v/>
      </c>
      <c r="JW24" s="1805" t="str">
        <f t="shared" si="262"/>
        <v/>
      </c>
      <c r="JX24" s="1805" t="str">
        <f t="shared" si="263"/>
        <v/>
      </c>
      <c r="JY24" s="1805" t="str">
        <f t="shared" si="264"/>
        <v/>
      </c>
      <c r="JZ24" s="1805" t="str">
        <f t="shared" si="265"/>
        <v/>
      </c>
      <c r="KA24" s="1805" t="str">
        <f t="shared" si="266"/>
        <v/>
      </c>
      <c r="KB24" s="1805" t="str">
        <f t="shared" si="267"/>
        <v/>
      </c>
      <c r="KC24" s="1805" t="str">
        <f t="shared" si="268"/>
        <v/>
      </c>
      <c r="KD24" s="1805" t="str">
        <f t="shared" si="269"/>
        <v/>
      </c>
      <c r="KE24" s="1805" t="str">
        <f t="shared" si="270"/>
        <v/>
      </c>
      <c r="KF24" s="1805" t="str">
        <f t="shared" si="271"/>
        <v/>
      </c>
      <c r="KG24" s="1805" t="str">
        <f t="shared" si="272"/>
        <v/>
      </c>
      <c r="KH24" s="1805" t="str">
        <f t="shared" si="273"/>
        <v/>
      </c>
      <c r="KI24" s="1805" t="str">
        <f t="shared" si="274"/>
        <v/>
      </c>
      <c r="KJ24" s="1805" t="str">
        <f t="shared" si="275"/>
        <v/>
      </c>
      <c r="KK24" s="1805" t="str">
        <f t="shared" si="276"/>
        <v/>
      </c>
      <c r="KL24" s="1805" t="str">
        <f t="shared" si="277"/>
        <v/>
      </c>
      <c r="KM24" s="1805" t="str">
        <f t="shared" si="278"/>
        <v/>
      </c>
      <c r="KN24" s="1805" t="str">
        <f t="shared" si="279"/>
        <v/>
      </c>
      <c r="KO24" s="1805" t="str">
        <f t="shared" si="280"/>
        <v/>
      </c>
      <c r="KP24" s="1805" t="str">
        <f t="shared" si="281"/>
        <v/>
      </c>
      <c r="KQ24" s="1805" t="str">
        <f t="shared" si="282"/>
        <v/>
      </c>
      <c r="KR24" s="1805" t="str">
        <f t="shared" si="283"/>
        <v/>
      </c>
      <c r="KS24" s="1805" t="str">
        <f t="shared" si="284"/>
        <v/>
      </c>
      <c r="KT24" s="1805" t="str">
        <f t="shared" si="285"/>
        <v/>
      </c>
      <c r="KU24" s="1805" t="str">
        <f t="shared" si="286"/>
        <v/>
      </c>
      <c r="KV24" s="1805" t="str">
        <f t="shared" si="287"/>
        <v/>
      </c>
      <c r="KW24" s="1805" t="str">
        <f t="shared" si="288"/>
        <v/>
      </c>
      <c r="KX24" s="1805" t="str">
        <f t="shared" si="289"/>
        <v/>
      </c>
      <c r="KY24" s="1805" t="str">
        <f t="shared" si="290"/>
        <v/>
      </c>
      <c r="KZ24" s="1805" t="str">
        <f t="shared" si="291"/>
        <v/>
      </c>
      <c r="LA24" s="1805" t="str">
        <f t="shared" si="292"/>
        <v/>
      </c>
      <c r="LB24" s="1805" t="str">
        <f t="shared" si="293"/>
        <v/>
      </c>
      <c r="LC24" s="1805" t="str">
        <f t="shared" si="294"/>
        <v/>
      </c>
      <c r="LD24" s="1805" t="str">
        <f t="shared" si="295"/>
        <v/>
      </c>
      <c r="LE24" s="1805" t="str">
        <f t="shared" si="296"/>
        <v/>
      </c>
      <c r="LF24" s="1805" t="str">
        <f t="shared" si="297"/>
        <v/>
      </c>
      <c r="LG24" s="1794" t="str">
        <f t="shared" si="298"/>
        <v/>
      </c>
      <c r="LH24" s="1794" t="str">
        <f t="shared" si="299"/>
        <v/>
      </c>
      <c r="LI24" s="1794" t="str">
        <f t="shared" si="300"/>
        <v/>
      </c>
      <c r="LJ24" s="1794" t="str">
        <f t="shared" si="301"/>
        <v/>
      </c>
      <c r="LK24" s="1794"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7">
        <f t="shared" si="323"/>
        <v>0</v>
      </c>
      <c r="MG24" s="1657">
        <f t="shared" si="324"/>
        <v>0</v>
      </c>
      <c r="MH24" s="1657">
        <f t="shared" si="325"/>
        <v>0</v>
      </c>
      <c r="MI24" s="1657">
        <f t="shared" si="326"/>
        <v>0</v>
      </c>
      <c r="MJ24" s="1657">
        <f t="shared" si="327"/>
        <v>0</v>
      </c>
      <c r="MK24" s="1657">
        <f t="shared" si="333"/>
        <v>0</v>
      </c>
      <c r="ML24" s="1657">
        <f t="shared" si="334"/>
        <v>0</v>
      </c>
      <c r="MM24" s="1657">
        <f t="shared" si="335"/>
        <v>0</v>
      </c>
      <c r="MN24" s="1657">
        <f t="shared" si="336"/>
        <v>0</v>
      </c>
      <c r="MO24" s="1657">
        <f t="shared" si="337"/>
        <v>0</v>
      </c>
      <c r="MP24" s="1657">
        <f t="shared" si="328"/>
        <v>0</v>
      </c>
      <c r="MQ24" s="1657">
        <f t="shared" si="329"/>
        <v>0</v>
      </c>
      <c r="MR24" s="1657">
        <f t="shared" si="330"/>
        <v>0</v>
      </c>
      <c r="MS24" s="1657">
        <f t="shared" si="331"/>
        <v>0</v>
      </c>
      <c r="MT24" s="1657">
        <f t="shared" si="332"/>
        <v>0</v>
      </c>
      <c r="NP24" s="1630" t="s">
        <v>4317</v>
      </c>
      <c r="NQ24" s="2480">
        <v>24</v>
      </c>
    </row>
    <row r="25" spans="1:381" ht="13.9" customHeight="1">
      <c r="A25" s="86" t="str">
        <f t="shared" si="0"/>
        <v/>
      </c>
      <c r="B25" s="1060"/>
      <c r="C25" s="132"/>
      <c r="D25" s="1660"/>
      <c r="E25" s="133"/>
      <c r="F25" s="133"/>
      <c r="G25" s="133"/>
      <c r="H25" s="133"/>
      <c r="I25" s="133"/>
      <c r="J25" s="743">
        <f>IF(C25="",0,HLOOKUP(C25,'Part IV-Utility Allowances'!$I$11:$M$22,12))</f>
        <v>0</v>
      </c>
      <c r="K25" s="632"/>
      <c r="L25" s="460">
        <f t="shared" si="1"/>
        <v>0</v>
      </c>
      <c r="M25" s="460">
        <f t="shared" si="2"/>
        <v>0</v>
      </c>
      <c r="N25" s="683"/>
      <c r="O25" s="1594"/>
      <c r="P25" s="683"/>
      <c r="Q25" s="134"/>
      <c r="R25" s="726"/>
      <c r="S25" s="727"/>
      <c r="T25" s="3453"/>
      <c r="U25" s="3454"/>
      <c r="V25" s="3454"/>
      <c r="W25" s="3455"/>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5" t="str">
        <f t="shared" si="213"/>
        <v/>
      </c>
      <c r="IA25" s="1805" t="str">
        <f t="shared" si="214"/>
        <v/>
      </c>
      <c r="IB25" s="1805" t="str">
        <f t="shared" si="215"/>
        <v/>
      </c>
      <c r="IC25" s="1805" t="str">
        <f t="shared" si="216"/>
        <v/>
      </c>
      <c r="ID25" s="1805" t="str">
        <f t="shared" si="217"/>
        <v/>
      </c>
      <c r="IE25" s="1805" t="str">
        <f t="shared" si="218"/>
        <v/>
      </c>
      <c r="IF25" s="1805" t="str">
        <f t="shared" si="219"/>
        <v/>
      </c>
      <c r="IG25" s="1805" t="str">
        <f t="shared" si="220"/>
        <v/>
      </c>
      <c r="IH25" s="1805" t="str">
        <f t="shared" si="221"/>
        <v/>
      </c>
      <c r="II25" s="1805" t="str">
        <f t="shared" si="222"/>
        <v/>
      </c>
      <c r="IJ25" s="1805" t="str">
        <f t="shared" si="223"/>
        <v/>
      </c>
      <c r="IK25" s="1805" t="str">
        <f t="shared" si="224"/>
        <v/>
      </c>
      <c r="IL25" s="1805" t="str">
        <f t="shared" si="225"/>
        <v/>
      </c>
      <c r="IM25" s="1805" t="str">
        <f t="shared" si="226"/>
        <v/>
      </c>
      <c r="IN25" s="1805" t="str">
        <f t="shared" si="227"/>
        <v/>
      </c>
      <c r="IO25" s="1805" t="str">
        <f t="shared" si="228"/>
        <v/>
      </c>
      <c r="IP25" s="1805" t="str">
        <f t="shared" si="229"/>
        <v/>
      </c>
      <c r="IQ25" s="1805" t="str">
        <f t="shared" si="230"/>
        <v/>
      </c>
      <c r="IR25" s="1805" t="str">
        <f t="shared" si="231"/>
        <v/>
      </c>
      <c r="IS25" s="1805" t="str">
        <f t="shared" si="232"/>
        <v/>
      </c>
      <c r="IT25" s="1805" t="str">
        <f t="shared" si="233"/>
        <v/>
      </c>
      <c r="IU25" s="1805" t="str">
        <f t="shared" si="234"/>
        <v/>
      </c>
      <c r="IV25" s="1805" t="str">
        <f t="shared" si="235"/>
        <v/>
      </c>
      <c r="IW25" s="1805" t="str">
        <f t="shared" si="236"/>
        <v/>
      </c>
      <c r="IX25" s="1805" t="str">
        <f t="shared" si="237"/>
        <v/>
      </c>
      <c r="IY25" s="1805" t="str">
        <f t="shared" si="238"/>
        <v/>
      </c>
      <c r="IZ25" s="1805" t="str">
        <f t="shared" si="239"/>
        <v/>
      </c>
      <c r="JA25" s="1805" t="str">
        <f t="shared" si="240"/>
        <v/>
      </c>
      <c r="JB25" s="1805" t="str">
        <f t="shared" si="241"/>
        <v/>
      </c>
      <c r="JC25" s="1805" t="str">
        <f t="shared" si="242"/>
        <v/>
      </c>
      <c r="JD25" s="1805" t="str">
        <f t="shared" si="243"/>
        <v/>
      </c>
      <c r="JE25" s="1805" t="str">
        <f t="shared" si="244"/>
        <v/>
      </c>
      <c r="JF25" s="1805" t="str">
        <f t="shared" si="245"/>
        <v/>
      </c>
      <c r="JG25" s="1805" t="str">
        <f t="shared" si="246"/>
        <v/>
      </c>
      <c r="JH25" s="1805" t="str">
        <f t="shared" si="247"/>
        <v/>
      </c>
      <c r="JI25" s="1805" t="str">
        <f t="shared" si="248"/>
        <v/>
      </c>
      <c r="JJ25" s="1805" t="str">
        <f t="shared" si="249"/>
        <v/>
      </c>
      <c r="JK25" s="1805" t="str">
        <f t="shared" si="250"/>
        <v/>
      </c>
      <c r="JL25" s="1805" t="str">
        <f t="shared" si="251"/>
        <v/>
      </c>
      <c r="JM25" s="1805" t="str">
        <f t="shared" si="252"/>
        <v/>
      </c>
      <c r="JN25" s="1805" t="str">
        <f t="shared" si="253"/>
        <v/>
      </c>
      <c r="JO25" s="1805" t="str">
        <f t="shared" si="254"/>
        <v/>
      </c>
      <c r="JP25" s="1805" t="str">
        <f t="shared" si="255"/>
        <v/>
      </c>
      <c r="JQ25" s="1805" t="str">
        <f t="shared" si="256"/>
        <v/>
      </c>
      <c r="JR25" s="1805" t="str">
        <f t="shared" si="257"/>
        <v/>
      </c>
      <c r="JS25" s="1805" t="str">
        <f t="shared" si="258"/>
        <v/>
      </c>
      <c r="JT25" s="1805" t="str">
        <f t="shared" si="259"/>
        <v/>
      </c>
      <c r="JU25" s="1805" t="str">
        <f t="shared" si="260"/>
        <v/>
      </c>
      <c r="JV25" s="1805" t="str">
        <f t="shared" si="261"/>
        <v/>
      </c>
      <c r="JW25" s="1805" t="str">
        <f t="shared" si="262"/>
        <v/>
      </c>
      <c r="JX25" s="1805" t="str">
        <f t="shared" si="263"/>
        <v/>
      </c>
      <c r="JY25" s="1805" t="str">
        <f t="shared" si="264"/>
        <v/>
      </c>
      <c r="JZ25" s="1805" t="str">
        <f t="shared" si="265"/>
        <v/>
      </c>
      <c r="KA25" s="1805" t="str">
        <f t="shared" si="266"/>
        <v/>
      </c>
      <c r="KB25" s="1805" t="str">
        <f t="shared" si="267"/>
        <v/>
      </c>
      <c r="KC25" s="1805" t="str">
        <f t="shared" si="268"/>
        <v/>
      </c>
      <c r="KD25" s="1805" t="str">
        <f t="shared" si="269"/>
        <v/>
      </c>
      <c r="KE25" s="1805" t="str">
        <f t="shared" si="270"/>
        <v/>
      </c>
      <c r="KF25" s="1805" t="str">
        <f t="shared" si="271"/>
        <v/>
      </c>
      <c r="KG25" s="1805" t="str">
        <f t="shared" si="272"/>
        <v/>
      </c>
      <c r="KH25" s="1805" t="str">
        <f t="shared" si="273"/>
        <v/>
      </c>
      <c r="KI25" s="1805" t="str">
        <f t="shared" si="274"/>
        <v/>
      </c>
      <c r="KJ25" s="1805" t="str">
        <f t="shared" si="275"/>
        <v/>
      </c>
      <c r="KK25" s="1805" t="str">
        <f t="shared" si="276"/>
        <v/>
      </c>
      <c r="KL25" s="1805" t="str">
        <f t="shared" si="277"/>
        <v/>
      </c>
      <c r="KM25" s="1805" t="str">
        <f t="shared" si="278"/>
        <v/>
      </c>
      <c r="KN25" s="1805" t="str">
        <f t="shared" si="279"/>
        <v/>
      </c>
      <c r="KO25" s="1805" t="str">
        <f t="shared" si="280"/>
        <v/>
      </c>
      <c r="KP25" s="1805" t="str">
        <f t="shared" si="281"/>
        <v/>
      </c>
      <c r="KQ25" s="1805" t="str">
        <f t="shared" si="282"/>
        <v/>
      </c>
      <c r="KR25" s="1805" t="str">
        <f t="shared" si="283"/>
        <v/>
      </c>
      <c r="KS25" s="1805" t="str">
        <f t="shared" si="284"/>
        <v/>
      </c>
      <c r="KT25" s="1805" t="str">
        <f t="shared" si="285"/>
        <v/>
      </c>
      <c r="KU25" s="1805" t="str">
        <f t="shared" si="286"/>
        <v/>
      </c>
      <c r="KV25" s="1805" t="str">
        <f t="shared" si="287"/>
        <v/>
      </c>
      <c r="KW25" s="1805" t="str">
        <f t="shared" si="288"/>
        <v/>
      </c>
      <c r="KX25" s="1805" t="str">
        <f t="shared" si="289"/>
        <v/>
      </c>
      <c r="KY25" s="1805" t="str">
        <f t="shared" si="290"/>
        <v/>
      </c>
      <c r="KZ25" s="1805" t="str">
        <f t="shared" si="291"/>
        <v/>
      </c>
      <c r="LA25" s="1805" t="str">
        <f t="shared" si="292"/>
        <v/>
      </c>
      <c r="LB25" s="1805" t="str">
        <f t="shared" si="293"/>
        <v/>
      </c>
      <c r="LC25" s="1805" t="str">
        <f t="shared" si="294"/>
        <v/>
      </c>
      <c r="LD25" s="1805" t="str">
        <f t="shared" si="295"/>
        <v/>
      </c>
      <c r="LE25" s="1805" t="str">
        <f t="shared" si="296"/>
        <v/>
      </c>
      <c r="LF25" s="1805" t="str">
        <f t="shared" si="297"/>
        <v/>
      </c>
      <c r="LG25" s="1794" t="str">
        <f t="shared" si="298"/>
        <v/>
      </c>
      <c r="LH25" s="1794" t="str">
        <f t="shared" si="299"/>
        <v/>
      </c>
      <c r="LI25" s="1794" t="str">
        <f t="shared" si="300"/>
        <v/>
      </c>
      <c r="LJ25" s="1794" t="str">
        <f t="shared" si="301"/>
        <v/>
      </c>
      <c r="LK25" s="1794"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7">
        <f t="shared" si="323"/>
        <v>0</v>
      </c>
      <c r="MG25" s="1657">
        <f t="shared" si="324"/>
        <v>0</v>
      </c>
      <c r="MH25" s="1657">
        <f t="shared" si="325"/>
        <v>0</v>
      </c>
      <c r="MI25" s="1657">
        <f t="shared" si="326"/>
        <v>0</v>
      </c>
      <c r="MJ25" s="1657">
        <f t="shared" si="327"/>
        <v>0</v>
      </c>
      <c r="MK25" s="1657">
        <f t="shared" si="333"/>
        <v>0</v>
      </c>
      <c r="ML25" s="1657">
        <f t="shared" si="334"/>
        <v>0</v>
      </c>
      <c r="MM25" s="1657">
        <f t="shared" si="335"/>
        <v>0</v>
      </c>
      <c r="MN25" s="1657">
        <f t="shared" si="336"/>
        <v>0</v>
      </c>
      <c r="MO25" s="1657">
        <f t="shared" si="337"/>
        <v>0</v>
      </c>
      <c r="MP25" s="1657">
        <f t="shared" si="328"/>
        <v>0</v>
      </c>
      <c r="MQ25" s="1657">
        <f t="shared" si="329"/>
        <v>0</v>
      </c>
      <c r="MR25" s="1657">
        <f t="shared" si="330"/>
        <v>0</v>
      </c>
      <c r="MS25" s="1657">
        <f t="shared" si="331"/>
        <v>0</v>
      </c>
      <c r="MT25" s="1657">
        <f t="shared" si="332"/>
        <v>0</v>
      </c>
      <c r="NP25" s="1630" t="s">
        <v>4318</v>
      </c>
      <c r="NQ25" s="2478">
        <v>25</v>
      </c>
    </row>
    <row r="26" spans="1:381" ht="13.9" customHeight="1">
      <c r="A26" s="86" t="str">
        <f t="shared" si="0"/>
        <v/>
      </c>
      <c r="B26" s="1060"/>
      <c r="C26" s="132"/>
      <c r="D26" s="1660"/>
      <c r="E26" s="133"/>
      <c r="F26" s="133"/>
      <c r="G26" s="133"/>
      <c r="H26" s="133"/>
      <c r="I26" s="133"/>
      <c r="J26" s="743">
        <f>IF(C26="",0,HLOOKUP(C26,'Part IV-Utility Allowances'!$I$11:$M$22,12))</f>
        <v>0</v>
      </c>
      <c r="K26" s="632"/>
      <c r="L26" s="460">
        <f t="shared" si="1"/>
        <v>0</v>
      </c>
      <c r="M26" s="460">
        <f t="shared" si="2"/>
        <v>0</v>
      </c>
      <c r="N26" s="683"/>
      <c r="O26" s="1594"/>
      <c r="P26" s="683"/>
      <c r="Q26" s="134"/>
      <c r="R26" s="726"/>
      <c r="S26" s="727"/>
      <c r="T26" s="3453"/>
      <c r="U26" s="3454"/>
      <c r="V26" s="3454"/>
      <c r="W26" s="3455"/>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5" t="str">
        <f t="shared" si="213"/>
        <v/>
      </c>
      <c r="IA26" s="1805" t="str">
        <f t="shared" si="214"/>
        <v/>
      </c>
      <c r="IB26" s="1805" t="str">
        <f t="shared" si="215"/>
        <v/>
      </c>
      <c r="IC26" s="1805" t="str">
        <f t="shared" si="216"/>
        <v/>
      </c>
      <c r="ID26" s="1805" t="str">
        <f t="shared" si="217"/>
        <v/>
      </c>
      <c r="IE26" s="1805" t="str">
        <f t="shared" si="218"/>
        <v/>
      </c>
      <c r="IF26" s="1805" t="str">
        <f t="shared" si="219"/>
        <v/>
      </c>
      <c r="IG26" s="1805" t="str">
        <f t="shared" si="220"/>
        <v/>
      </c>
      <c r="IH26" s="1805" t="str">
        <f t="shared" si="221"/>
        <v/>
      </c>
      <c r="II26" s="1805" t="str">
        <f t="shared" si="222"/>
        <v/>
      </c>
      <c r="IJ26" s="1805" t="str">
        <f t="shared" si="223"/>
        <v/>
      </c>
      <c r="IK26" s="1805" t="str">
        <f t="shared" si="224"/>
        <v/>
      </c>
      <c r="IL26" s="1805" t="str">
        <f t="shared" si="225"/>
        <v/>
      </c>
      <c r="IM26" s="1805" t="str">
        <f t="shared" si="226"/>
        <v/>
      </c>
      <c r="IN26" s="1805" t="str">
        <f t="shared" si="227"/>
        <v/>
      </c>
      <c r="IO26" s="1805" t="str">
        <f t="shared" si="228"/>
        <v/>
      </c>
      <c r="IP26" s="1805" t="str">
        <f t="shared" si="229"/>
        <v/>
      </c>
      <c r="IQ26" s="1805" t="str">
        <f t="shared" si="230"/>
        <v/>
      </c>
      <c r="IR26" s="1805" t="str">
        <f t="shared" si="231"/>
        <v/>
      </c>
      <c r="IS26" s="1805" t="str">
        <f t="shared" si="232"/>
        <v/>
      </c>
      <c r="IT26" s="1805" t="str">
        <f t="shared" si="233"/>
        <v/>
      </c>
      <c r="IU26" s="1805" t="str">
        <f t="shared" si="234"/>
        <v/>
      </c>
      <c r="IV26" s="1805" t="str">
        <f t="shared" si="235"/>
        <v/>
      </c>
      <c r="IW26" s="1805" t="str">
        <f t="shared" si="236"/>
        <v/>
      </c>
      <c r="IX26" s="1805" t="str">
        <f t="shared" si="237"/>
        <v/>
      </c>
      <c r="IY26" s="1805" t="str">
        <f t="shared" si="238"/>
        <v/>
      </c>
      <c r="IZ26" s="1805" t="str">
        <f t="shared" si="239"/>
        <v/>
      </c>
      <c r="JA26" s="1805" t="str">
        <f t="shared" si="240"/>
        <v/>
      </c>
      <c r="JB26" s="1805" t="str">
        <f t="shared" si="241"/>
        <v/>
      </c>
      <c r="JC26" s="1805" t="str">
        <f t="shared" si="242"/>
        <v/>
      </c>
      <c r="JD26" s="1805" t="str">
        <f t="shared" si="243"/>
        <v/>
      </c>
      <c r="JE26" s="1805" t="str">
        <f t="shared" si="244"/>
        <v/>
      </c>
      <c r="JF26" s="1805" t="str">
        <f t="shared" si="245"/>
        <v/>
      </c>
      <c r="JG26" s="1805" t="str">
        <f t="shared" si="246"/>
        <v/>
      </c>
      <c r="JH26" s="1805" t="str">
        <f t="shared" si="247"/>
        <v/>
      </c>
      <c r="JI26" s="1805" t="str">
        <f t="shared" si="248"/>
        <v/>
      </c>
      <c r="JJ26" s="1805" t="str">
        <f t="shared" si="249"/>
        <v/>
      </c>
      <c r="JK26" s="1805" t="str">
        <f t="shared" si="250"/>
        <v/>
      </c>
      <c r="JL26" s="1805" t="str">
        <f t="shared" si="251"/>
        <v/>
      </c>
      <c r="JM26" s="1805" t="str">
        <f t="shared" si="252"/>
        <v/>
      </c>
      <c r="JN26" s="1805" t="str">
        <f t="shared" si="253"/>
        <v/>
      </c>
      <c r="JO26" s="1805" t="str">
        <f t="shared" si="254"/>
        <v/>
      </c>
      <c r="JP26" s="1805" t="str">
        <f t="shared" si="255"/>
        <v/>
      </c>
      <c r="JQ26" s="1805" t="str">
        <f t="shared" si="256"/>
        <v/>
      </c>
      <c r="JR26" s="1805" t="str">
        <f t="shared" si="257"/>
        <v/>
      </c>
      <c r="JS26" s="1805" t="str">
        <f t="shared" si="258"/>
        <v/>
      </c>
      <c r="JT26" s="1805" t="str">
        <f t="shared" si="259"/>
        <v/>
      </c>
      <c r="JU26" s="1805" t="str">
        <f t="shared" si="260"/>
        <v/>
      </c>
      <c r="JV26" s="1805" t="str">
        <f t="shared" si="261"/>
        <v/>
      </c>
      <c r="JW26" s="1805" t="str">
        <f t="shared" si="262"/>
        <v/>
      </c>
      <c r="JX26" s="1805" t="str">
        <f t="shared" si="263"/>
        <v/>
      </c>
      <c r="JY26" s="1805" t="str">
        <f t="shared" si="264"/>
        <v/>
      </c>
      <c r="JZ26" s="1805" t="str">
        <f t="shared" si="265"/>
        <v/>
      </c>
      <c r="KA26" s="1805" t="str">
        <f t="shared" si="266"/>
        <v/>
      </c>
      <c r="KB26" s="1805" t="str">
        <f t="shared" si="267"/>
        <v/>
      </c>
      <c r="KC26" s="1805" t="str">
        <f t="shared" si="268"/>
        <v/>
      </c>
      <c r="KD26" s="1805" t="str">
        <f t="shared" si="269"/>
        <v/>
      </c>
      <c r="KE26" s="1805" t="str">
        <f t="shared" si="270"/>
        <v/>
      </c>
      <c r="KF26" s="1805" t="str">
        <f t="shared" si="271"/>
        <v/>
      </c>
      <c r="KG26" s="1805" t="str">
        <f t="shared" si="272"/>
        <v/>
      </c>
      <c r="KH26" s="1805" t="str">
        <f t="shared" si="273"/>
        <v/>
      </c>
      <c r="KI26" s="1805" t="str">
        <f t="shared" si="274"/>
        <v/>
      </c>
      <c r="KJ26" s="1805" t="str">
        <f t="shared" si="275"/>
        <v/>
      </c>
      <c r="KK26" s="1805" t="str">
        <f t="shared" si="276"/>
        <v/>
      </c>
      <c r="KL26" s="1805" t="str">
        <f t="shared" si="277"/>
        <v/>
      </c>
      <c r="KM26" s="1805" t="str">
        <f t="shared" si="278"/>
        <v/>
      </c>
      <c r="KN26" s="1805" t="str">
        <f t="shared" si="279"/>
        <v/>
      </c>
      <c r="KO26" s="1805" t="str">
        <f t="shared" si="280"/>
        <v/>
      </c>
      <c r="KP26" s="1805" t="str">
        <f t="shared" si="281"/>
        <v/>
      </c>
      <c r="KQ26" s="1805" t="str">
        <f t="shared" si="282"/>
        <v/>
      </c>
      <c r="KR26" s="1805" t="str">
        <f t="shared" si="283"/>
        <v/>
      </c>
      <c r="KS26" s="1805" t="str">
        <f t="shared" si="284"/>
        <v/>
      </c>
      <c r="KT26" s="1805" t="str">
        <f t="shared" si="285"/>
        <v/>
      </c>
      <c r="KU26" s="1805" t="str">
        <f t="shared" si="286"/>
        <v/>
      </c>
      <c r="KV26" s="1805" t="str">
        <f t="shared" si="287"/>
        <v/>
      </c>
      <c r="KW26" s="1805" t="str">
        <f t="shared" si="288"/>
        <v/>
      </c>
      <c r="KX26" s="1805" t="str">
        <f t="shared" si="289"/>
        <v/>
      </c>
      <c r="KY26" s="1805" t="str">
        <f t="shared" si="290"/>
        <v/>
      </c>
      <c r="KZ26" s="1805" t="str">
        <f t="shared" si="291"/>
        <v/>
      </c>
      <c r="LA26" s="1805" t="str">
        <f t="shared" si="292"/>
        <v/>
      </c>
      <c r="LB26" s="1805" t="str">
        <f t="shared" si="293"/>
        <v/>
      </c>
      <c r="LC26" s="1805" t="str">
        <f t="shared" si="294"/>
        <v/>
      </c>
      <c r="LD26" s="1805" t="str">
        <f t="shared" si="295"/>
        <v/>
      </c>
      <c r="LE26" s="1805" t="str">
        <f t="shared" si="296"/>
        <v/>
      </c>
      <c r="LF26" s="1805" t="str">
        <f t="shared" si="297"/>
        <v/>
      </c>
      <c r="LG26" s="1794" t="str">
        <f t="shared" si="298"/>
        <v/>
      </c>
      <c r="LH26" s="1794" t="str">
        <f t="shared" si="299"/>
        <v/>
      </c>
      <c r="LI26" s="1794" t="str">
        <f t="shared" si="300"/>
        <v/>
      </c>
      <c r="LJ26" s="1794" t="str">
        <f t="shared" si="301"/>
        <v/>
      </c>
      <c r="LK26" s="1794"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7">
        <f t="shared" si="323"/>
        <v>0</v>
      </c>
      <c r="MG26" s="1657">
        <f t="shared" si="324"/>
        <v>0</v>
      </c>
      <c r="MH26" s="1657">
        <f t="shared" si="325"/>
        <v>0</v>
      </c>
      <c r="MI26" s="1657">
        <f t="shared" si="326"/>
        <v>0</v>
      </c>
      <c r="MJ26" s="1657">
        <f t="shared" si="327"/>
        <v>0</v>
      </c>
      <c r="MK26" s="1657">
        <f t="shared" si="333"/>
        <v>0</v>
      </c>
      <c r="ML26" s="1657">
        <f t="shared" si="334"/>
        <v>0</v>
      </c>
      <c r="MM26" s="1657">
        <f t="shared" si="335"/>
        <v>0</v>
      </c>
      <c r="MN26" s="1657">
        <f t="shared" si="336"/>
        <v>0</v>
      </c>
      <c r="MO26" s="1657">
        <f t="shared" si="337"/>
        <v>0</v>
      </c>
      <c r="MP26" s="1657">
        <f t="shared" si="328"/>
        <v>0</v>
      </c>
      <c r="MQ26" s="1657">
        <f t="shared" si="329"/>
        <v>0</v>
      </c>
      <c r="MR26" s="1657">
        <f t="shared" si="330"/>
        <v>0</v>
      </c>
      <c r="MS26" s="1657">
        <f t="shared" si="331"/>
        <v>0</v>
      </c>
      <c r="MT26" s="1657">
        <f t="shared" si="332"/>
        <v>0</v>
      </c>
      <c r="NP26" s="1630" t="s">
        <v>4319</v>
      </c>
      <c r="NQ26" s="2480">
        <v>26</v>
      </c>
    </row>
    <row r="27" spans="1:381" ht="13.9" customHeight="1">
      <c r="A27" s="86" t="str">
        <f t="shared" si="0"/>
        <v/>
      </c>
      <c r="B27" s="1060"/>
      <c r="C27" s="132"/>
      <c r="D27" s="1660"/>
      <c r="E27" s="133"/>
      <c r="F27" s="133"/>
      <c r="G27" s="133"/>
      <c r="H27" s="133"/>
      <c r="I27" s="133"/>
      <c r="J27" s="743">
        <f>IF(C27="",0,HLOOKUP(C27,'Part IV-Utility Allowances'!$I$11:$M$22,12))</f>
        <v>0</v>
      </c>
      <c r="K27" s="632"/>
      <c r="L27" s="460">
        <f t="shared" si="1"/>
        <v>0</v>
      </c>
      <c r="M27" s="460">
        <f t="shared" si="2"/>
        <v>0</v>
      </c>
      <c r="N27" s="683"/>
      <c r="O27" s="1594"/>
      <c r="P27" s="683"/>
      <c r="Q27" s="134"/>
      <c r="R27" s="726"/>
      <c r="S27" s="727"/>
      <c r="T27" s="3453"/>
      <c r="U27" s="3454"/>
      <c r="V27" s="3454"/>
      <c r="W27" s="3455"/>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5" t="str">
        <f t="shared" si="213"/>
        <v/>
      </c>
      <c r="IA27" s="1805" t="str">
        <f t="shared" si="214"/>
        <v/>
      </c>
      <c r="IB27" s="1805" t="str">
        <f t="shared" si="215"/>
        <v/>
      </c>
      <c r="IC27" s="1805" t="str">
        <f t="shared" si="216"/>
        <v/>
      </c>
      <c r="ID27" s="1805" t="str">
        <f t="shared" si="217"/>
        <v/>
      </c>
      <c r="IE27" s="1805" t="str">
        <f t="shared" si="218"/>
        <v/>
      </c>
      <c r="IF27" s="1805" t="str">
        <f t="shared" si="219"/>
        <v/>
      </c>
      <c r="IG27" s="1805" t="str">
        <f t="shared" si="220"/>
        <v/>
      </c>
      <c r="IH27" s="1805" t="str">
        <f t="shared" si="221"/>
        <v/>
      </c>
      <c r="II27" s="1805" t="str">
        <f t="shared" si="222"/>
        <v/>
      </c>
      <c r="IJ27" s="1805" t="str">
        <f t="shared" si="223"/>
        <v/>
      </c>
      <c r="IK27" s="1805" t="str">
        <f t="shared" si="224"/>
        <v/>
      </c>
      <c r="IL27" s="1805" t="str">
        <f t="shared" si="225"/>
        <v/>
      </c>
      <c r="IM27" s="1805" t="str">
        <f t="shared" si="226"/>
        <v/>
      </c>
      <c r="IN27" s="1805" t="str">
        <f t="shared" si="227"/>
        <v/>
      </c>
      <c r="IO27" s="1805" t="str">
        <f t="shared" si="228"/>
        <v/>
      </c>
      <c r="IP27" s="1805" t="str">
        <f t="shared" si="229"/>
        <v/>
      </c>
      <c r="IQ27" s="1805" t="str">
        <f t="shared" si="230"/>
        <v/>
      </c>
      <c r="IR27" s="1805" t="str">
        <f t="shared" si="231"/>
        <v/>
      </c>
      <c r="IS27" s="1805" t="str">
        <f t="shared" si="232"/>
        <v/>
      </c>
      <c r="IT27" s="1805" t="str">
        <f t="shared" si="233"/>
        <v/>
      </c>
      <c r="IU27" s="1805" t="str">
        <f t="shared" si="234"/>
        <v/>
      </c>
      <c r="IV27" s="1805" t="str">
        <f t="shared" si="235"/>
        <v/>
      </c>
      <c r="IW27" s="1805" t="str">
        <f t="shared" si="236"/>
        <v/>
      </c>
      <c r="IX27" s="1805" t="str">
        <f t="shared" si="237"/>
        <v/>
      </c>
      <c r="IY27" s="1805" t="str">
        <f t="shared" si="238"/>
        <v/>
      </c>
      <c r="IZ27" s="1805" t="str">
        <f t="shared" si="239"/>
        <v/>
      </c>
      <c r="JA27" s="1805" t="str">
        <f t="shared" si="240"/>
        <v/>
      </c>
      <c r="JB27" s="1805" t="str">
        <f t="shared" si="241"/>
        <v/>
      </c>
      <c r="JC27" s="1805" t="str">
        <f t="shared" si="242"/>
        <v/>
      </c>
      <c r="JD27" s="1805" t="str">
        <f t="shared" si="243"/>
        <v/>
      </c>
      <c r="JE27" s="1805" t="str">
        <f t="shared" si="244"/>
        <v/>
      </c>
      <c r="JF27" s="1805" t="str">
        <f t="shared" si="245"/>
        <v/>
      </c>
      <c r="JG27" s="1805" t="str">
        <f t="shared" si="246"/>
        <v/>
      </c>
      <c r="JH27" s="1805" t="str">
        <f t="shared" si="247"/>
        <v/>
      </c>
      <c r="JI27" s="1805" t="str">
        <f t="shared" si="248"/>
        <v/>
      </c>
      <c r="JJ27" s="1805" t="str">
        <f t="shared" si="249"/>
        <v/>
      </c>
      <c r="JK27" s="1805" t="str">
        <f t="shared" si="250"/>
        <v/>
      </c>
      <c r="JL27" s="1805" t="str">
        <f t="shared" si="251"/>
        <v/>
      </c>
      <c r="JM27" s="1805" t="str">
        <f t="shared" si="252"/>
        <v/>
      </c>
      <c r="JN27" s="1805" t="str">
        <f t="shared" si="253"/>
        <v/>
      </c>
      <c r="JO27" s="1805" t="str">
        <f t="shared" si="254"/>
        <v/>
      </c>
      <c r="JP27" s="1805" t="str">
        <f t="shared" si="255"/>
        <v/>
      </c>
      <c r="JQ27" s="1805" t="str">
        <f t="shared" si="256"/>
        <v/>
      </c>
      <c r="JR27" s="1805" t="str">
        <f t="shared" si="257"/>
        <v/>
      </c>
      <c r="JS27" s="1805" t="str">
        <f t="shared" si="258"/>
        <v/>
      </c>
      <c r="JT27" s="1805" t="str">
        <f t="shared" si="259"/>
        <v/>
      </c>
      <c r="JU27" s="1805" t="str">
        <f t="shared" si="260"/>
        <v/>
      </c>
      <c r="JV27" s="1805" t="str">
        <f t="shared" si="261"/>
        <v/>
      </c>
      <c r="JW27" s="1805" t="str">
        <f t="shared" si="262"/>
        <v/>
      </c>
      <c r="JX27" s="1805" t="str">
        <f t="shared" si="263"/>
        <v/>
      </c>
      <c r="JY27" s="1805" t="str">
        <f t="shared" si="264"/>
        <v/>
      </c>
      <c r="JZ27" s="1805" t="str">
        <f t="shared" si="265"/>
        <v/>
      </c>
      <c r="KA27" s="1805" t="str">
        <f t="shared" si="266"/>
        <v/>
      </c>
      <c r="KB27" s="1805" t="str">
        <f t="shared" si="267"/>
        <v/>
      </c>
      <c r="KC27" s="1805" t="str">
        <f t="shared" si="268"/>
        <v/>
      </c>
      <c r="KD27" s="1805" t="str">
        <f t="shared" si="269"/>
        <v/>
      </c>
      <c r="KE27" s="1805" t="str">
        <f t="shared" si="270"/>
        <v/>
      </c>
      <c r="KF27" s="1805" t="str">
        <f t="shared" si="271"/>
        <v/>
      </c>
      <c r="KG27" s="1805" t="str">
        <f t="shared" si="272"/>
        <v/>
      </c>
      <c r="KH27" s="1805" t="str">
        <f t="shared" si="273"/>
        <v/>
      </c>
      <c r="KI27" s="1805" t="str">
        <f t="shared" si="274"/>
        <v/>
      </c>
      <c r="KJ27" s="1805" t="str">
        <f t="shared" si="275"/>
        <v/>
      </c>
      <c r="KK27" s="1805" t="str">
        <f t="shared" si="276"/>
        <v/>
      </c>
      <c r="KL27" s="1805" t="str">
        <f t="shared" si="277"/>
        <v/>
      </c>
      <c r="KM27" s="1805" t="str">
        <f t="shared" si="278"/>
        <v/>
      </c>
      <c r="KN27" s="1805" t="str">
        <f t="shared" si="279"/>
        <v/>
      </c>
      <c r="KO27" s="1805" t="str">
        <f t="shared" si="280"/>
        <v/>
      </c>
      <c r="KP27" s="1805" t="str">
        <f t="shared" si="281"/>
        <v/>
      </c>
      <c r="KQ27" s="1805" t="str">
        <f t="shared" si="282"/>
        <v/>
      </c>
      <c r="KR27" s="1805" t="str">
        <f t="shared" si="283"/>
        <v/>
      </c>
      <c r="KS27" s="1805" t="str">
        <f t="shared" si="284"/>
        <v/>
      </c>
      <c r="KT27" s="1805" t="str">
        <f t="shared" si="285"/>
        <v/>
      </c>
      <c r="KU27" s="1805" t="str">
        <f t="shared" si="286"/>
        <v/>
      </c>
      <c r="KV27" s="1805" t="str">
        <f t="shared" si="287"/>
        <v/>
      </c>
      <c r="KW27" s="1805" t="str">
        <f t="shared" si="288"/>
        <v/>
      </c>
      <c r="KX27" s="1805" t="str">
        <f t="shared" si="289"/>
        <v/>
      </c>
      <c r="KY27" s="1805" t="str">
        <f t="shared" si="290"/>
        <v/>
      </c>
      <c r="KZ27" s="1805" t="str">
        <f t="shared" si="291"/>
        <v/>
      </c>
      <c r="LA27" s="1805" t="str">
        <f t="shared" si="292"/>
        <v/>
      </c>
      <c r="LB27" s="1805" t="str">
        <f t="shared" si="293"/>
        <v/>
      </c>
      <c r="LC27" s="1805" t="str">
        <f t="shared" si="294"/>
        <v/>
      </c>
      <c r="LD27" s="1805" t="str">
        <f t="shared" si="295"/>
        <v/>
      </c>
      <c r="LE27" s="1805" t="str">
        <f t="shared" si="296"/>
        <v/>
      </c>
      <c r="LF27" s="1805" t="str">
        <f t="shared" si="297"/>
        <v/>
      </c>
      <c r="LG27" s="1794" t="str">
        <f t="shared" si="298"/>
        <v/>
      </c>
      <c r="LH27" s="1794" t="str">
        <f t="shared" si="299"/>
        <v/>
      </c>
      <c r="LI27" s="1794" t="str">
        <f t="shared" si="300"/>
        <v/>
      </c>
      <c r="LJ27" s="1794" t="str">
        <f t="shared" si="301"/>
        <v/>
      </c>
      <c r="LK27" s="1794"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7">
        <f t="shared" si="323"/>
        <v>0</v>
      </c>
      <c r="MG27" s="1657">
        <f t="shared" si="324"/>
        <v>0</v>
      </c>
      <c r="MH27" s="1657">
        <f t="shared" si="325"/>
        <v>0</v>
      </c>
      <c r="MI27" s="1657">
        <f t="shared" si="326"/>
        <v>0</v>
      </c>
      <c r="MJ27" s="1657">
        <f t="shared" si="327"/>
        <v>0</v>
      </c>
      <c r="MK27" s="1657">
        <f t="shared" si="333"/>
        <v>0</v>
      </c>
      <c r="ML27" s="1657">
        <f t="shared" si="334"/>
        <v>0</v>
      </c>
      <c r="MM27" s="1657">
        <f t="shared" si="335"/>
        <v>0</v>
      </c>
      <c r="MN27" s="1657">
        <f t="shared" si="336"/>
        <v>0</v>
      </c>
      <c r="MO27" s="1657">
        <f t="shared" si="337"/>
        <v>0</v>
      </c>
      <c r="MP27" s="1657">
        <f t="shared" si="328"/>
        <v>0</v>
      </c>
      <c r="MQ27" s="1657">
        <f t="shared" si="329"/>
        <v>0</v>
      </c>
      <c r="MR27" s="1657">
        <f t="shared" si="330"/>
        <v>0</v>
      </c>
      <c r="MS27" s="1657">
        <f t="shared" si="331"/>
        <v>0</v>
      </c>
      <c r="MT27" s="1657">
        <f t="shared" si="332"/>
        <v>0</v>
      </c>
      <c r="NP27" s="1630" t="s">
        <v>4320</v>
      </c>
      <c r="NQ27" s="2480">
        <v>27</v>
      </c>
    </row>
    <row r="28" spans="1:381" ht="13.9" customHeight="1">
      <c r="A28" s="86" t="str">
        <f t="shared" si="0"/>
        <v/>
      </c>
      <c r="B28" s="1060"/>
      <c r="C28" s="132"/>
      <c r="D28" s="1660"/>
      <c r="E28" s="133"/>
      <c r="F28" s="133"/>
      <c r="G28" s="133"/>
      <c r="H28" s="133"/>
      <c r="I28" s="133"/>
      <c r="J28" s="743">
        <f>IF(C28="",0,HLOOKUP(C28,'Part IV-Utility Allowances'!$I$11:$M$22,12))</f>
        <v>0</v>
      </c>
      <c r="K28" s="632"/>
      <c r="L28" s="460">
        <f t="shared" si="1"/>
        <v>0</v>
      </c>
      <c r="M28" s="460">
        <f t="shared" si="2"/>
        <v>0</v>
      </c>
      <c r="N28" s="683"/>
      <c r="O28" s="1594"/>
      <c r="P28" s="683"/>
      <c r="Q28" s="134"/>
      <c r="R28" s="726"/>
      <c r="S28" s="727"/>
      <c r="T28" s="3453"/>
      <c r="U28" s="3454"/>
      <c r="V28" s="3454"/>
      <c r="W28" s="3455"/>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5" t="str">
        <f t="shared" si="213"/>
        <v/>
      </c>
      <c r="IA28" s="1805" t="str">
        <f t="shared" si="214"/>
        <v/>
      </c>
      <c r="IB28" s="1805" t="str">
        <f t="shared" si="215"/>
        <v/>
      </c>
      <c r="IC28" s="1805" t="str">
        <f t="shared" si="216"/>
        <v/>
      </c>
      <c r="ID28" s="1805" t="str">
        <f t="shared" si="217"/>
        <v/>
      </c>
      <c r="IE28" s="1805" t="str">
        <f t="shared" si="218"/>
        <v/>
      </c>
      <c r="IF28" s="1805" t="str">
        <f t="shared" si="219"/>
        <v/>
      </c>
      <c r="IG28" s="1805" t="str">
        <f t="shared" si="220"/>
        <v/>
      </c>
      <c r="IH28" s="1805" t="str">
        <f t="shared" si="221"/>
        <v/>
      </c>
      <c r="II28" s="1805" t="str">
        <f t="shared" si="222"/>
        <v/>
      </c>
      <c r="IJ28" s="1805" t="str">
        <f t="shared" si="223"/>
        <v/>
      </c>
      <c r="IK28" s="1805" t="str">
        <f t="shared" si="224"/>
        <v/>
      </c>
      <c r="IL28" s="1805" t="str">
        <f t="shared" si="225"/>
        <v/>
      </c>
      <c r="IM28" s="1805" t="str">
        <f t="shared" si="226"/>
        <v/>
      </c>
      <c r="IN28" s="1805" t="str">
        <f t="shared" si="227"/>
        <v/>
      </c>
      <c r="IO28" s="1805" t="str">
        <f t="shared" si="228"/>
        <v/>
      </c>
      <c r="IP28" s="1805" t="str">
        <f t="shared" si="229"/>
        <v/>
      </c>
      <c r="IQ28" s="1805" t="str">
        <f t="shared" si="230"/>
        <v/>
      </c>
      <c r="IR28" s="1805" t="str">
        <f t="shared" si="231"/>
        <v/>
      </c>
      <c r="IS28" s="1805" t="str">
        <f t="shared" si="232"/>
        <v/>
      </c>
      <c r="IT28" s="1805" t="str">
        <f t="shared" si="233"/>
        <v/>
      </c>
      <c r="IU28" s="1805" t="str">
        <f t="shared" si="234"/>
        <v/>
      </c>
      <c r="IV28" s="1805" t="str">
        <f t="shared" si="235"/>
        <v/>
      </c>
      <c r="IW28" s="1805" t="str">
        <f t="shared" si="236"/>
        <v/>
      </c>
      <c r="IX28" s="1805" t="str">
        <f t="shared" si="237"/>
        <v/>
      </c>
      <c r="IY28" s="1805" t="str">
        <f t="shared" si="238"/>
        <v/>
      </c>
      <c r="IZ28" s="1805" t="str">
        <f t="shared" si="239"/>
        <v/>
      </c>
      <c r="JA28" s="1805" t="str">
        <f t="shared" si="240"/>
        <v/>
      </c>
      <c r="JB28" s="1805" t="str">
        <f t="shared" si="241"/>
        <v/>
      </c>
      <c r="JC28" s="1805" t="str">
        <f t="shared" si="242"/>
        <v/>
      </c>
      <c r="JD28" s="1805" t="str">
        <f t="shared" si="243"/>
        <v/>
      </c>
      <c r="JE28" s="1805" t="str">
        <f t="shared" si="244"/>
        <v/>
      </c>
      <c r="JF28" s="1805" t="str">
        <f t="shared" si="245"/>
        <v/>
      </c>
      <c r="JG28" s="1805" t="str">
        <f t="shared" si="246"/>
        <v/>
      </c>
      <c r="JH28" s="1805" t="str">
        <f t="shared" si="247"/>
        <v/>
      </c>
      <c r="JI28" s="1805" t="str">
        <f t="shared" si="248"/>
        <v/>
      </c>
      <c r="JJ28" s="1805" t="str">
        <f t="shared" si="249"/>
        <v/>
      </c>
      <c r="JK28" s="1805" t="str">
        <f t="shared" si="250"/>
        <v/>
      </c>
      <c r="JL28" s="1805" t="str">
        <f t="shared" si="251"/>
        <v/>
      </c>
      <c r="JM28" s="1805" t="str">
        <f t="shared" si="252"/>
        <v/>
      </c>
      <c r="JN28" s="1805" t="str">
        <f t="shared" si="253"/>
        <v/>
      </c>
      <c r="JO28" s="1805" t="str">
        <f t="shared" si="254"/>
        <v/>
      </c>
      <c r="JP28" s="1805" t="str">
        <f t="shared" si="255"/>
        <v/>
      </c>
      <c r="JQ28" s="1805" t="str">
        <f t="shared" si="256"/>
        <v/>
      </c>
      <c r="JR28" s="1805" t="str">
        <f t="shared" si="257"/>
        <v/>
      </c>
      <c r="JS28" s="1805" t="str">
        <f t="shared" si="258"/>
        <v/>
      </c>
      <c r="JT28" s="1805" t="str">
        <f t="shared" si="259"/>
        <v/>
      </c>
      <c r="JU28" s="1805" t="str">
        <f t="shared" si="260"/>
        <v/>
      </c>
      <c r="JV28" s="1805" t="str">
        <f t="shared" si="261"/>
        <v/>
      </c>
      <c r="JW28" s="1805" t="str">
        <f t="shared" si="262"/>
        <v/>
      </c>
      <c r="JX28" s="1805" t="str">
        <f t="shared" si="263"/>
        <v/>
      </c>
      <c r="JY28" s="1805" t="str">
        <f t="shared" si="264"/>
        <v/>
      </c>
      <c r="JZ28" s="1805" t="str">
        <f t="shared" si="265"/>
        <v/>
      </c>
      <c r="KA28" s="1805" t="str">
        <f t="shared" si="266"/>
        <v/>
      </c>
      <c r="KB28" s="1805" t="str">
        <f t="shared" si="267"/>
        <v/>
      </c>
      <c r="KC28" s="1805" t="str">
        <f t="shared" si="268"/>
        <v/>
      </c>
      <c r="KD28" s="1805" t="str">
        <f t="shared" si="269"/>
        <v/>
      </c>
      <c r="KE28" s="1805" t="str">
        <f t="shared" si="270"/>
        <v/>
      </c>
      <c r="KF28" s="1805" t="str">
        <f t="shared" si="271"/>
        <v/>
      </c>
      <c r="KG28" s="1805" t="str">
        <f t="shared" si="272"/>
        <v/>
      </c>
      <c r="KH28" s="1805" t="str">
        <f t="shared" si="273"/>
        <v/>
      </c>
      <c r="KI28" s="1805" t="str">
        <f t="shared" si="274"/>
        <v/>
      </c>
      <c r="KJ28" s="1805" t="str">
        <f t="shared" si="275"/>
        <v/>
      </c>
      <c r="KK28" s="1805" t="str">
        <f t="shared" si="276"/>
        <v/>
      </c>
      <c r="KL28" s="1805" t="str">
        <f t="shared" si="277"/>
        <v/>
      </c>
      <c r="KM28" s="1805" t="str">
        <f t="shared" si="278"/>
        <v/>
      </c>
      <c r="KN28" s="1805" t="str">
        <f t="shared" si="279"/>
        <v/>
      </c>
      <c r="KO28" s="1805" t="str">
        <f t="shared" si="280"/>
        <v/>
      </c>
      <c r="KP28" s="1805" t="str">
        <f t="shared" si="281"/>
        <v/>
      </c>
      <c r="KQ28" s="1805" t="str">
        <f t="shared" si="282"/>
        <v/>
      </c>
      <c r="KR28" s="1805" t="str">
        <f t="shared" si="283"/>
        <v/>
      </c>
      <c r="KS28" s="1805" t="str">
        <f t="shared" si="284"/>
        <v/>
      </c>
      <c r="KT28" s="1805" t="str">
        <f t="shared" si="285"/>
        <v/>
      </c>
      <c r="KU28" s="1805" t="str">
        <f t="shared" si="286"/>
        <v/>
      </c>
      <c r="KV28" s="1805" t="str">
        <f t="shared" si="287"/>
        <v/>
      </c>
      <c r="KW28" s="1805" t="str">
        <f t="shared" si="288"/>
        <v/>
      </c>
      <c r="KX28" s="1805" t="str">
        <f t="shared" si="289"/>
        <v/>
      </c>
      <c r="KY28" s="1805" t="str">
        <f t="shared" si="290"/>
        <v/>
      </c>
      <c r="KZ28" s="1805" t="str">
        <f t="shared" si="291"/>
        <v/>
      </c>
      <c r="LA28" s="1805" t="str">
        <f t="shared" si="292"/>
        <v/>
      </c>
      <c r="LB28" s="1805" t="str">
        <f t="shared" si="293"/>
        <v/>
      </c>
      <c r="LC28" s="1805" t="str">
        <f t="shared" si="294"/>
        <v/>
      </c>
      <c r="LD28" s="1805" t="str">
        <f t="shared" si="295"/>
        <v/>
      </c>
      <c r="LE28" s="1805" t="str">
        <f t="shared" si="296"/>
        <v/>
      </c>
      <c r="LF28" s="1805" t="str">
        <f t="shared" si="297"/>
        <v/>
      </c>
      <c r="LG28" s="1794" t="str">
        <f t="shared" si="298"/>
        <v/>
      </c>
      <c r="LH28" s="1794" t="str">
        <f t="shared" si="299"/>
        <v/>
      </c>
      <c r="LI28" s="1794" t="str">
        <f t="shared" si="300"/>
        <v/>
      </c>
      <c r="LJ28" s="1794" t="str">
        <f t="shared" si="301"/>
        <v/>
      </c>
      <c r="LK28" s="1794"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7">
        <f t="shared" si="323"/>
        <v>0</v>
      </c>
      <c r="MG28" s="1657">
        <f t="shared" si="324"/>
        <v>0</v>
      </c>
      <c r="MH28" s="1657">
        <f t="shared" si="325"/>
        <v>0</v>
      </c>
      <c r="MI28" s="1657">
        <f t="shared" si="326"/>
        <v>0</v>
      </c>
      <c r="MJ28" s="1657">
        <f t="shared" si="327"/>
        <v>0</v>
      </c>
      <c r="MK28" s="1657">
        <f t="shared" si="333"/>
        <v>0</v>
      </c>
      <c r="ML28" s="1657">
        <f t="shared" si="334"/>
        <v>0</v>
      </c>
      <c r="MM28" s="1657">
        <f t="shared" si="335"/>
        <v>0</v>
      </c>
      <c r="MN28" s="1657">
        <f t="shared" si="336"/>
        <v>0</v>
      </c>
      <c r="MO28" s="1657">
        <f t="shared" si="337"/>
        <v>0</v>
      </c>
      <c r="MP28" s="1657">
        <f t="shared" si="328"/>
        <v>0</v>
      </c>
      <c r="MQ28" s="1657">
        <f t="shared" si="329"/>
        <v>0</v>
      </c>
      <c r="MR28" s="1657">
        <f t="shared" si="330"/>
        <v>0</v>
      </c>
      <c r="MS28" s="1657">
        <f t="shared" si="331"/>
        <v>0</v>
      </c>
      <c r="MT28" s="1657">
        <f t="shared" si="332"/>
        <v>0</v>
      </c>
      <c r="NP28" s="1630" t="s">
        <v>4321</v>
      </c>
      <c r="NQ28" s="2480">
        <v>28</v>
      </c>
    </row>
    <row r="29" spans="1:381" ht="13.9" customHeight="1">
      <c r="A29" s="86" t="str">
        <f t="shared" si="0"/>
        <v/>
      </c>
      <c r="B29" s="1060"/>
      <c r="C29" s="132"/>
      <c r="D29" s="1660"/>
      <c r="E29" s="133"/>
      <c r="F29" s="133"/>
      <c r="G29" s="133"/>
      <c r="H29" s="133"/>
      <c r="I29" s="133"/>
      <c r="J29" s="743">
        <f>IF(C29="",0,HLOOKUP(C29,'Part IV-Utility Allowances'!$I$11:$M$22,12))</f>
        <v>0</v>
      </c>
      <c r="K29" s="632"/>
      <c r="L29" s="460">
        <f t="shared" si="1"/>
        <v>0</v>
      </c>
      <c r="M29" s="460">
        <f t="shared" si="2"/>
        <v>0</v>
      </c>
      <c r="N29" s="683"/>
      <c r="O29" s="1594"/>
      <c r="P29" s="683"/>
      <c r="Q29" s="134"/>
      <c r="R29" s="726"/>
      <c r="S29" s="727"/>
      <c r="T29" s="3453"/>
      <c r="U29" s="3454"/>
      <c r="V29" s="3454"/>
      <c r="W29" s="3455"/>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5" t="str">
        <f t="shared" si="213"/>
        <v/>
      </c>
      <c r="IA29" s="1805" t="str">
        <f t="shared" si="214"/>
        <v/>
      </c>
      <c r="IB29" s="1805" t="str">
        <f t="shared" si="215"/>
        <v/>
      </c>
      <c r="IC29" s="1805" t="str">
        <f t="shared" si="216"/>
        <v/>
      </c>
      <c r="ID29" s="1805" t="str">
        <f t="shared" si="217"/>
        <v/>
      </c>
      <c r="IE29" s="1805" t="str">
        <f t="shared" si="218"/>
        <v/>
      </c>
      <c r="IF29" s="1805" t="str">
        <f t="shared" si="219"/>
        <v/>
      </c>
      <c r="IG29" s="1805" t="str">
        <f t="shared" si="220"/>
        <v/>
      </c>
      <c r="IH29" s="1805" t="str">
        <f t="shared" si="221"/>
        <v/>
      </c>
      <c r="II29" s="1805" t="str">
        <f t="shared" si="222"/>
        <v/>
      </c>
      <c r="IJ29" s="1805" t="str">
        <f t="shared" si="223"/>
        <v/>
      </c>
      <c r="IK29" s="1805" t="str">
        <f t="shared" si="224"/>
        <v/>
      </c>
      <c r="IL29" s="1805" t="str">
        <f t="shared" si="225"/>
        <v/>
      </c>
      <c r="IM29" s="1805" t="str">
        <f t="shared" si="226"/>
        <v/>
      </c>
      <c r="IN29" s="1805" t="str">
        <f t="shared" si="227"/>
        <v/>
      </c>
      <c r="IO29" s="1805" t="str">
        <f t="shared" si="228"/>
        <v/>
      </c>
      <c r="IP29" s="1805" t="str">
        <f t="shared" si="229"/>
        <v/>
      </c>
      <c r="IQ29" s="1805" t="str">
        <f t="shared" si="230"/>
        <v/>
      </c>
      <c r="IR29" s="1805" t="str">
        <f t="shared" si="231"/>
        <v/>
      </c>
      <c r="IS29" s="1805" t="str">
        <f t="shared" si="232"/>
        <v/>
      </c>
      <c r="IT29" s="1805" t="str">
        <f t="shared" si="233"/>
        <v/>
      </c>
      <c r="IU29" s="1805" t="str">
        <f t="shared" si="234"/>
        <v/>
      </c>
      <c r="IV29" s="1805" t="str">
        <f t="shared" si="235"/>
        <v/>
      </c>
      <c r="IW29" s="1805" t="str">
        <f t="shared" si="236"/>
        <v/>
      </c>
      <c r="IX29" s="1805" t="str">
        <f t="shared" si="237"/>
        <v/>
      </c>
      <c r="IY29" s="1805" t="str">
        <f t="shared" si="238"/>
        <v/>
      </c>
      <c r="IZ29" s="1805" t="str">
        <f t="shared" si="239"/>
        <v/>
      </c>
      <c r="JA29" s="1805" t="str">
        <f t="shared" si="240"/>
        <v/>
      </c>
      <c r="JB29" s="1805" t="str">
        <f t="shared" si="241"/>
        <v/>
      </c>
      <c r="JC29" s="1805" t="str">
        <f t="shared" si="242"/>
        <v/>
      </c>
      <c r="JD29" s="1805" t="str">
        <f t="shared" si="243"/>
        <v/>
      </c>
      <c r="JE29" s="1805" t="str">
        <f t="shared" si="244"/>
        <v/>
      </c>
      <c r="JF29" s="1805" t="str">
        <f t="shared" si="245"/>
        <v/>
      </c>
      <c r="JG29" s="1805" t="str">
        <f t="shared" si="246"/>
        <v/>
      </c>
      <c r="JH29" s="1805" t="str">
        <f t="shared" si="247"/>
        <v/>
      </c>
      <c r="JI29" s="1805" t="str">
        <f t="shared" si="248"/>
        <v/>
      </c>
      <c r="JJ29" s="1805" t="str">
        <f t="shared" si="249"/>
        <v/>
      </c>
      <c r="JK29" s="1805" t="str">
        <f t="shared" si="250"/>
        <v/>
      </c>
      <c r="JL29" s="1805" t="str">
        <f t="shared" si="251"/>
        <v/>
      </c>
      <c r="JM29" s="1805" t="str">
        <f t="shared" si="252"/>
        <v/>
      </c>
      <c r="JN29" s="1805" t="str">
        <f t="shared" si="253"/>
        <v/>
      </c>
      <c r="JO29" s="1805" t="str">
        <f t="shared" si="254"/>
        <v/>
      </c>
      <c r="JP29" s="1805" t="str">
        <f t="shared" si="255"/>
        <v/>
      </c>
      <c r="JQ29" s="1805" t="str">
        <f t="shared" si="256"/>
        <v/>
      </c>
      <c r="JR29" s="1805" t="str">
        <f t="shared" si="257"/>
        <v/>
      </c>
      <c r="JS29" s="1805" t="str">
        <f t="shared" si="258"/>
        <v/>
      </c>
      <c r="JT29" s="1805" t="str">
        <f t="shared" si="259"/>
        <v/>
      </c>
      <c r="JU29" s="1805" t="str">
        <f t="shared" si="260"/>
        <v/>
      </c>
      <c r="JV29" s="1805" t="str">
        <f t="shared" si="261"/>
        <v/>
      </c>
      <c r="JW29" s="1805" t="str">
        <f t="shared" si="262"/>
        <v/>
      </c>
      <c r="JX29" s="1805" t="str">
        <f t="shared" si="263"/>
        <v/>
      </c>
      <c r="JY29" s="1805" t="str">
        <f t="shared" si="264"/>
        <v/>
      </c>
      <c r="JZ29" s="1805" t="str">
        <f t="shared" si="265"/>
        <v/>
      </c>
      <c r="KA29" s="1805" t="str">
        <f t="shared" si="266"/>
        <v/>
      </c>
      <c r="KB29" s="1805" t="str">
        <f t="shared" si="267"/>
        <v/>
      </c>
      <c r="KC29" s="1805" t="str">
        <f t="shared" si="268"/>
        <v/>
      </c>
      <c r="KD29" s="1805" t="str">
        <f t="shared" si="269"/>
        <v/>
      </c>
      <c r="KE29" s="1805" t="str">
        <f t="shared" si="270"/>
        <v/>
      </c>
      <c r="KF29" s="1805" t="str">
        <f t="shared" si="271"/>
        <v/>
      </c>
      <c r="KG29" s="1805" t="str">
        <f t="shared" si="272"/>
        <v/>
      </c>
      <c r="KH29" s="1805" t="str">
        <f t="shared" si="273"/>
        <v/>
      </c>
      <c r="KI29" s="1805" t="str">
        <f t="shared" si="274"/>
        <v/>
      </c>
      <c r="KJ29" s="1805" t="str">
        <f t="shared" si="275"/>
        <v/>
      </c>
      <c r="KK29" s="1805" t="str">
        <f t="shared" si="276"/>
        <v/>
      </c>
      <c r="KL29" s="1805" t="str">
        <f t="shared" si="277"/>
        <v/>
      </c>
      <c r="KM29" s="1805" t="str">
        <f t="shared" si="278"/>
        <v/>
      </c>
      <c r="KN29" s="1805" t="str">
        <f t="shared" si="279"/>
        <v/>
      </c>
      <c r="KO29" s="1805" t="str">
        <f t="shared" si="280"/>
        <v/>
      </c>
      <c r="KP29" s="1805" t="str">
        <f t="shared" si="281"/>
        <v/>
      </c>
      <c r="KQ29" s="1805" t="str">
        <f t="shared" si="282"/>
        <v/>
      </c>
      <c r="KR29" s="1805" t="str">
        <f t="shared" si="283"/>
        <v/>
      </c>
      <c r="KS29" s="1805" t="str">
        <f t="shared" si="284"/>
        <v/>
      </c>
      <c r="KT29" s="1805" t="str">
        <f t="shared" si="285"/>
        <v/>
      </c>
      <c r="KU29" s="1805" t="str">
        <f t="shared" si="286"/>
        <v/>
      </c>
      <c r="KV29" s="1805" t="str">
        <f t="shared" si="287"/>
        <v/>
      </c>
      <c r="KW29" s="1805" t="str">
        <f t="shared" si="288"/>
        <v/>
      </c>
      <c r="KX29" s="1805" t="str">
        <f t="shared" si="289"/>
        <v/>
      </c>
      <c r="KY29" s="1805" t="str">
        <f t="shared" si="290"/>
        <v/>
      </c>
      <c r="KZ29" s="1805" t="str">
        <f t="shared" si="291"/>
        <v/>
      </c>
      <c r="LA29" s="1805" t="str">
        <f t="shared" si="292"/>
        <v/>
      </c>
      <c r="LB29" s="1805" t="str">
        <f t="shared" si="293"/>
        <v/>
      </c>
      <c r="LC29" s="1805" t="str">
        <f t="shared" si="294"/>
        <v/>
      </c>
      <c r="LD29" s="1805" t="str">
        <f t="shared" si="295"/>
        <v/>
      </c>
      <c r="LE29" s="1805" t="str">
        <f t="shared" si="296"/>
        <v/>
      </c>
      <c r="LF29" s="1805" t="str">
        <f t="shared" si="297"/>
        <v/>
      </c>
      <c r="LG29" s="1794" t="str">
        <f t="shared" si="298"/>
        <v/>
      </c>
      <c r="LH29" s="1794" t="str">
        <f t="shared" si="299"/>
        <v/>
      </c>
      <c r="LI29" s="1794" t="str">
        <f t="shared" si="300"/>
        <v/>
      </c>
      <c r="LJ29" s="1794" t="str">
        <f t="shared" si="301"/>
        <v/>
      </c>
      <c r="LK29" s="1794"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7">
        <f t="shared" si="323"/>
        <v>0</v>
      </c>
      <c r="MG29" s="1657">
        <f t="shared" si="324"/>
        <v>0</v>
      </c>
      <c r="MH29" s="1657">
        <f t="shared" si="325"/>
        <v>0</v>
      </c>
      <c r="MI29" s="1657">
        <f t="shared" si="326"/>
        <v>0</v>
      </c>
      <c r="MJ29" s="1657">
        <f t="shared" si="327"/>
        <v>0</v>
      </c>
      <c r="MK29" s="1657">
        <f t="shared" si="333"/>
        <v>0</v>
      </c>
      <c r="ML29" s="1657">
        <f t="shared" si="334"/>
        <v>0</v>
      </c>
      <c r="MM29" s="1657">
        <f t="shared" si="335"/>
        <v>0</v>
      </c>
      <c r="MN29" s="1657">
        <f t="shared" si="336"/>
        <v>0</v>
      </c>
      <c r="MO29" s="1657">
        <f t="shared" si="337"/>
        <v>0</v>
      </c>
      <c r="MP29" s="1657">
        <f t="shared" si="328"/>
        <v>0</v>
      </c>
      <c r="MQ29" s="1657">
        <f t="shared" si="329"/>
        <v>0</v>
      </c>
      <c r="MR29" s="1657">
        <f t="shared" si="330"/>
        <v>0</v>
      </c>
      <c r="MS29" s="1657">
        <f t="shared" si="331"/>
        <v>0</v>
      </c>
      <c r="MT29" s="1657">
        <f t="shared" si="332"/>
        <v>0</v>
      </c>
      <c r="NP29" s="1630" t="s">
        <v>4322</v>
      </c>
      <c r="NQ29" s="2480">
        <v>29</v>
      </c>
    </row>
    <row r="30" spans="1:381" ht="13.9" customHeight="1">
      <c r="A30" s="86" t="str">
        <f t="shared" si="0"/>
        <v/>
      </c>
      <c r="B30" s="1060"/>
      <c r="C30" s="132"/>
      <c r="D30" s="1660"/>
      <c r="E30" s="133"/>
      <c r="F30" s="133"/>
      <c r="G30" s="133"/>
      <c r="H30" s="133"/>
      <c r="I30" s="133"/>
      <c r="J30" s="743">
        <f>IF(C30="",0,HLOOKUP(C30,'Part IV-Utility Allowances'!$I$11:$M$22,12))</f>
        <v>0</v>
      </c>
      <c r="K30" s="632"/>
      <c r="L30" s="460">
        <f t="shared" si="1"/>
        <v>0</v>
      </c>
      <c r="M30" s="460">
        <f t="shared" si="2"/>
        <v>0</v>
      </c>
      <c r="N30" s="683"/>
      <c r="O30" s="1594"/>
      <c r="P30" s="683"/>
      <c r="Q30" s="134"/>
      <c r="R30" s="726"/>
      <c r="S30" s="727"/>
      <c r="T30" s="3453"/>
      <c r="U30" s="3454"/>
      <c r="V30" s="3454"/>
      <c r="W30" s="3455"/>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5" t="str">
        <f t="shared" si="213"/>
        <v/>
      </c>
      <c r="IA30" s="1805" t="str">
        <f t="shared" si="214"/>
        <v/>
      </c>
      <c r="IB30" s="1805" t="str">
        <f t="shared" si="215"/>
        <v/>
      </c>
      <c r="IC30" s="1805" t="str">
        <f t="shared" si="216"/>
        <v/>
      </c>
      <c r="ID30" s="1805" t="str">
        <f t="shared" si="217"/>
        <v/>
      </c>
      <c r="IE30" s="1805" t="str">
        <f t="shared" si="218"/>
        <v/>
      </c>
      <c r="IF30" s="1805" t="str">
        <f t="shared" si="219"/>
        <v/>
      </c>
      <c r="IG30" s="1805" t="str">
        <f t="shared" si="220"/>
        <v/>
      </c>
      <c r="IH30" s="1805" t="str">
        <f t="shared" si="221"/>
        <v/>
      </c>
      <c r="II30" s="1805" t="str">
        <f t="shared" si="222"/>
        <v/>
      </c>
      <c r="IJ30" s="1805" t="str">
        <f t="shared" si="223"/>
        <v/>
      </c>
      <c r="IK30" s="1805" t="str">
        <f t="shared" si="224"/>
        <v/>
      </c>
      <c r="IL30" s="1805" t="str">
        <f t="shared" si="225"/>
        <v/>
      </c>
      <c r="IM30" s="1805" t="str">
        <f t="shared" si="226"/>
        <v/>
      </c>
      <c r="IN30" s="1805" t="str">
        <f t="shared" si="227"/>
        <v/>
      </c>
      <c r="IO30" s="1805" t="str">
        <f t="shared" si="228"/>
        <v/>
      </c>
      <c r="IP30" s="1805" t="str">
        <f t="shared" si="229"/>
        <v/>
      </c>
      <c r="IQ30" s="1805" t="str">
        <f t="shared" si="230"/>
        <v/>
      </c>
      <c r="IR30" s="1805" t="str">
        <f t="shared" si="231"/>
        <v/>
      </c>
      <c r="IS30" s="1805" t="str">
        <f t="shared" si="232"/>
        <v/>
      </c>
      <c r="IT30" s="1805" t="str">
        <f t="shared" si="233"/>
        <v/>
      </c>
      <c r="IU30" s="1805" t="str">
        <f t="shared" si="234"/>
        <v/>
      </c>
      <c r="IV30" s="1805" t="str">
        <f t="shared" si="235"/>
        <v/>
      </c>
      <c r="IW30" s="1805" t="str">
        <f t="shared" si="236"/>
        <v/>
      </c>
      <c r="IX30" s="1805" t="str">
        <f t="shared" si="237"/>
        <v/>
      </c>
      <c r="IY30" s="1805" t="str">
        <f t="shared" si="238"/>
        <v/>
      </c>
      <c r="IZ30" s="1805" t="str">
        <f t="shared" si="239"/>
        <v/>
      </c>
      <c r="JA30" s="1805" t="str">
        <f t="shared" si="240"/>
        <v/>
      </c>
      <c r="JB30" s="1805" t="str">
        <f t="shared" si="241"/>
        <v/>
      </c>
      <c r="JC30" s="1805" t="str">
        <f t="shared" si="242"/>
        <v/>
      </c>
      <c r="JD30" s="1805" t="str">
        <f t="shared" si="243"/>
        <v/>
      </c>
      <c r="JE30" s="1805" t="str">
        <f t="shared" si="244"/>
        <v/>
      </c>
      <c r="JF30" s="1805" t="str">
        <f t="shared" si="245"/>
        <v/>
      </c>
      <c r="JG30" s="1805" t="str">
        <f t="shared" si="246"/>
        <v/>
      </c>
      <c r="JH30" s="1805" t="str">
        <f t="shared" si="247"/>
        <v/>
      </c>
      <c r="JI30" s="1805" t="str">
        <f t="shared" si="248"/>
        <v/>
      </c>
      <c r="JJ30" s="1805" t="str">
        <f t="shared" si="249"/>
        <v/>
      </c>
      <c r="JK30" s="1805" t="str">
        <f t="shared" si="250"/>
        <v/>
      </c>
      <c r="JL30" s="1805" t="str">
        <f t="shared" si="251"/>
        <v/>
      </c>
      <c r="JM30" s="1805" t="str">
        <f t="shared" si="252"/>
        <v/>
      </c>
      <c r="JN30" s="1805" t="str">
        <f t="shared" si="253"/>
        <v/>
      </c>
      <c r="JO30" s="1805" t="str">
        <f t="shared" si="254"/>
        <v/>
      </c>
      <c r="JP30" s="1805" t="str">
        <f t="shared" si="255"/>
        <v/>
      </c>
      <c r="JQ30" s="1805" t="str">
        <f t="shared" si="256"/>
        <v/>
      </c>
      <c r="JR30" s="1805" t="str">
        <f t="shared" si="257"/>
        <v/>
      </c>
      <c r="JS30" s="1805" t="str">
        <f t="shared" si="258"/>
        <v/>
      </c>
      <c r="JT30" s="1805" t="str">
        <f t="shared" si="259"/>
        <v/>
      </c>
      <c r="JU30" s="1805" t="str">
        <f t="shared" si="260"/>
        <v/>
      </c>
      <c r="JV30" s="1805" t="str">
        <f t="shared" si="261"/>
        <v/>
      </c>
      <c r="JW30" s="1805" t="str">
        <f t="shared" si="262"/>
        <v/>
      </c>
      <c r="JX30" s="1805" t="str">
        <f t="shared" si="263"/>
        <v/>
      </c>
      <c r="JY30" s="1805" t="str">
        <f t="shared" si="264"/>
        <v/>
      </c>
      <c r="JZ30" s="1805" t="str">
        <f t="shared" si="265"/>
        <v/>
      </c>
      <c r="KA30" s="1805" t="str">
        <f t="shared" si="266"/>
        <v/>
      </c>
      <c r="KB30" s="1805" t="str">
        <f t="shared" si="267"/>
        <v/>
      </c>
      <c r="KC30" s="1805" t="str">
        <f t="shared" si="268"/>
        <v/>
      </c>
      <c r="KD30" s="1805" t="str">
        <f t="shared" si="269"/>
        <v/>
      </c>
      <c r="KE30" s="1805" t="str">
        <f t="shared" si="270"/>
        <v/>
      </c>
      <c r="KF30" s="1805" t="str">
        <f t="shared" si="271"/>
        <v/>
      </c>
      <c r="KG30" s="1805" t="str">
        <f t="shared" si="272"/>
        <v/>
      </c>
      <c r="KH30" s="1805" t="str">
        <f t="shared" si="273"/>
        <v/>
      </c>
      <c r="KI30" s="1805" t="str">
        <f t="shared" si="274"/>
        <v/>
      </c>
      <c r="KJ30" s="1805" t="str">
        <f t="shared" si="275"/>
        <v/>
      </c>
      <c r="KK30" s="1805" t="str">
        <f t="shared" si="276"/>
        <v/>
      </c>
      <c r="KL30" s="1805" t="str">
        <f t="shared" si="277"/>
        <v/>
      </c>
      <c r="KM30" s="1805" t="str">
        <f t="shared" si="278"/>
        <v/>
      </c>
      <c r="KN30" s="1805" t="str">
        <f t="shared" si="279"/>
        <v/>
      </c>
      <c r="KO30" s="1805" t="str">
        <f t="shared" si="280"/>
        <v/>
      </c>
      <c r="KP30" s="1805" t="str">
        <f t="shared" si="281"/>
        <v/>
      </c>
      <c r="KQ30" s="1805" t="str">
        <f t="shared" si="282"/>
        <v/>
      </c>
      <c r="KR30" s="1805" t="str">
        <f t="shared" si="283"/>
        <v/>
      </c>
      <c r="KS30" s="1805" t="str">
        <f t="shared" si="284"/>
        <v/>
      </c>
      <c r="KT30" s="1805" t="str">
        <f t="shared" si="285"/>
        <v/>
      </c>
      <c r="KU30" s="1805" t="str">
        <f t="shared" si="286"/>
        <v/>
      </c>
      <c r="KV30" s="1805" t="str">
        <f t="shared" si="287"/>
        <v/>
      </c>
      <c r="KW30" s="1805" t="str">
        <f t="shared" si="288"/>
        <v/>
      </c>
      <c r="KX30" s="1805" t="str">
        <f t="shared" si="289"/>
        <v/>
      </c>
      <c r="KY30" s="1805" t="str">
        <f t="shared" si="290"/>
        <v/>
      </c>
      <c r="KZ30" s="1805" t="str">
        <f t="shared" si="291"/>
        <v/>
      </c>
      <c r="LA30" s="1805" t="str">
        <f t="shared" si="292"/>
        <v/>
      </c>
      <c r="LB30" s="1805" t="str">
        <f t="shared" si="293"/>
        <v/>
      </c>
      <c r="LC30" s="1805" t="str">
        <f t="shared" si="294"/>
        <v/>
      </c>
      <c r="LD30" s="1805" t="str">
        <f t="shared" si="295"/>
        <v/>
      </c>
      <c r="LE30" s="1805" t="str">
        <f t="shared" si="296"/>
        <v/>
      </c>
      <c r="LF30" s="1805" t="str">
        <f t="shared" si="297"/>
        <v/>
      </c>
      <c r="LG30" s="1794" t="str">
        <f t="shared" si="298"/>
        <v/>
      </c>
      <c r="LH30" s="1794" t="str">
        <f t="shared" si="299"/>
        <v/>
      </c>
      <c r="LI30" s="1794" t="str">
        <f t="shared" si="300"/>
        <v/>
      </c>
      <c r="LJ30" s="1794" t="str">
        <f t="shared" si="301"/>
        <v/>
      </c>
      <c r="LK30" s="1794"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7">
        <f t="shared" si="323"/>
        <v>0</v>
      </c>
      <c r="MG30" s="1657">
        <f t="shared" si="324"/>
        <v>0</v>
      </c>
      <c r="MH30" s="1657">
        <f t="shared" si="325"/>
        <v>0</v>
      </c>
      <c r="MI30" s="1657">
        <f t="shared" si="326"/>
        <v>0</v>
      </c>
      <c r="MJ30" s="1657">
        <f t="shared" si="327"/>
        <v>0</v>
      </c>
      <c r="MK30" s="1657">
        <f t="shared" si="333"/>
        <v>0</v>
      </c>
      <c r="ML30" s="1657">
        <f t="shared" si="334"/>
        <v>0</v>
      </c>
      <c r="MM30" s="1657">
        <f t="shared" si="335"/>
        <v>0</v>
      </c>
      <c r="MN30" s="1657">
        <f t="shared" si="336"/>
        <v>0</v>
      </c>
      <c r="MO30" s="1657">
        <f t="shared" si="337"/>
        <v>0</v>
      </c>
      <c r="MP30" s="1657">
        <f t="shared" si="328"/>
        <v>0</v>
      </c>
      <c r="MQ30" s="1657">
        <f t="shared" si="329"/>
        <v>0</v>
      </c>
      <c r="MR30" s="1657">
        <f t="shared" si="330"/>
        <v>0</v>
      </c>
      <c r="MS30" s="1657">
        <f t="shared" si="331"/>
        <v>0</v>
      </c>
      <c r="MT30" s="1657">
        <f t="shared" si="332"/>
        <v>0</v>
      </c>
      <c r="NP30" s="1630" t="s">
        <v>4323</v>
      </c>
      <c r="NQ30" s="2480">
        <v>30</v>
      </c>
    </row>
    <row r="31" spans="1:381" ht="13.9" customHeight="1">
      <c r="A31" s="86" t="str">
        <f t="shared" si="0"/>
        <v/>
      </c>
      <c r="B31" s="1060"/>
      <c r="C31" s="132"/>
      <c r="D31" s="1660"/>
      <c r="E31" s="133"/>
      <c r="F31" s="133"/>
      <c r="G31" s="133"/>
      <c r="H31" s="133"/>
      <c r="I31" s="133"/>
      <c r="J31" s="743">
        <f>IF(C31="",0,HLOOKUP(C31,'Part IV-Utility Allowances'!$I$11:$M$22,12))</f>
        <v>0</v>
      </c>
      <c r="K31" s="632"/>
      <c r="L31" s="460">
        <f t="shared" si="1"/>
        <v>0</v>
      </c>
      <c r="M31" s="460">
        <f t="shared" si="2"/>
        <v>0</v>
      </c>
      <c r="N31" s="683"/>
      <c r="O31" s="1594"/>
      <c r="P31" s="683"/>
      <c r="Q31" s="134"/>
      <c r="R31" s="726"/>
      <c r="S31" s="727"/>
      <c r="T31" s="3453"/>
      <c r="U31" s="3454"/>
      <c r="V31" s="3454"/>
      <c r="W31" s="3455"/>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5" t="str">
        <f t="shared" si="213"/>
        <v/>
      </c>
      <c r="IA31" s="1805" t="str">
        <f t="shared" si="214"/>
        <v/>
      </c>
      <c r="IB31" s="1805" t="str">
        <f t="shared" si="215"/>
        <v/>
      </c>
      <c r="IC31" s="1805" t="str">
        <f t="shared" si="216"/>
        <v/>
      </c>
      <c r="ID31" s="1805" t="str">
        <f t="shared" si="217"/>
        <v/>
      </c>
      <c r="IE31" s="1805" t="str">
        <f t="shared" si="218"/>
        <v/>
      </c>
      <c r="IF31" s="1805" t="str">
        <f t="shared" si="219"/>
        <v/>
      </c>
      <c r="IG31" s="1805" t="str">
        <f t="shared" si="220"/>
        <v/>
      </c>
      <c r="IH31" s="1805" t="str">
        <f t="shared" si="221"/>
        <v/>
      </c>
      <c r="II31" s="1805" t="str">
        <f t="shared" si="222"/>
        <v/>
      </c>
      <c r="IJ31" s="1805" t="str">
        <f t="shared" si="223"/>
        <v/>
      </c>
      <c r="IK31" s="1805" t="str">
        <f t="shared" si="224"/>
        <v/>
      </c>
      <c r="IL31" s="1805" t="str">
        <f t="shared" si="225"/>
        <v/>
      </c>
      <c r="IM31" s="1805" t="str">
        <f t="shared" si="226"/>
        <v/>
      </c>
      <c r="IN31" s="1805" t="str">
        <f t="shared" si="227"/>
        <v/>
      </c>
      <c r="IO31" s="1805" t="str">
        <f t="shared" si="228"/>
        <v/>
      </c>
      <c r="IP31" s="1805" t="str">
        <f t="shared" si="229"/>
        <v/>
      </c>
      <c r="IQ31" s="1805" t="str">
        <f t="shared" si="230"/>
        <v/>
      </c>
      <c r="IR31" s="1805" t="str">
        <f t="shared" si="231"/>
        <v/>
      </c>
      <c r="IS31" s="1805" t="str">
        <f t="shared" si="232"/>
        <v/>
      </c>
      <c r="IT31" s="1805" t="str">
        <f t="shared" si="233"/>
        <v/>
      </c>
      <c r="IU31" s="1805" t="str">
        <f t="shared" si="234"/>
        <v/>
      </c>
      <c r="IV31" s="1805" t="str">
        <f t="shared" si="235"/>
        <v/>
      </c>
      <c r="IW31" s="1805" t="str">
        <f t="shared" si="236"/>
        <v/>
      </c>
      <c r="IX31" s="1805" t="str">
        <f t="shared" si="237"/>
        <v/>
      </c>
      <c r="IY31" s="1805" t="str">
        <f t="shared" si="238"/>
        <v/>
      </c>
      <c r="IZ31" s="1805" t="str">
        <f t="shared" si="239"/>
        <v/>
      </c>
      <c r="JA31" s="1805" t="str">
        <f t="shared" si="240"/>
        <v/>
      </c>
      <c r="JB31" s="1805" t="str">
        <f t="shared" si="241"/>
        <v/>
      </c>
      <c r="JC31" s="1805" t="str">
        <f t="shared" si="242"/>
        <v/>
      </c>
      <c r="JD31" s="1805" t="str">
        <f t="shared" si="243"/>
        <v/>
      </c>
      <c r="JE31" s="1805" t="str">
        <f t="shared" si="244"/>
        <v/>
      </c>
      <c r="JF31" s="1805" t="str">
        <f t="shared" si="245"/>
        <v/>
      </c>
      <c r="JG31" s="1805" t="str">
        <f t="shared" si="246"/>
        <v/>
      </c>
      <c r="JH31" s="1805" t="str">
        <f t="shared" si="247"/>
        <v/>
      </c>
      <c r="JI31" s="1805" t="str">
        <f t="shared" si="248"/>
        <v/>
      </c>
      <c r="JJ31" s="1805" t="str">
        <f t="shared" si="249"/>
        <v/>
      </c>
      <c r="JK31" s="1805" t="str">
        <f t="shared" si="250"/>
        <v/>
      </c>
      <c r="JL31" s="1805" t="str">
        <f t="shared" si="251"/>
        <v/>
      </c>
      <c r="JM31" s="1805" t="str">
        <f t="shared" si="252"/>
        <v/>
      </c>
      <c r="JN31" s="1805" t="str">
        <f t="shared" si="253"/>
        <v/>
      </c>
      <c r="JO31" s="1805" t="str">
        <f t="shared" si="254"/>
        <v/>
      </c>
      <c r="JP31" s="1805" t="str">
        <f t="shared" si="255"/>
        <v/>
      </c>
      <c r="JQ31" s="1805" t="str">
        <f t="shared" si="256"/>
        <v/>
      </c>
      <c r="JR31" s="1805" t="str">
        <f t="shared" si="257"/>
        <v/>
      </c>
      <c r="JS31" s="1805" t="str">
        <f t="shared" si="258"/>
        <v/>
      </c>
      <c r="JT31" s="1805" t="str">
        <f t="shared" si="259"/>
        <v/>
      </c>
      <c r="JU31" s="1805" t="str">
        <f t="shared" si="260"/>
        <v/>
      </c>
      <c r="JV31" s="1805" t="str">
        <f t="shared" si="261"/>
        <v/>
      </c>
      <c r="JW31" s="1805" t="str">
        <f t="shared" si="262"/>
        <v/>
      </c>
      <c r="JX31" s="1805" t="str">
        <f t="shared" si="263"/>
        <v/>
      </c>
      <c r="JY31" s="1805" t="str">
        <f t="shared" si="264"/>
        <v/>
      </c>
      <c r="JZ31" s="1805" t="str">
        <f t="shared" si="265"/>
        <v/>
      </c>
      <c r="KA31" s="1805" t="str">
        <f t="shared" si="266"/>
        <v/>
      </c>
      <c r="KB31" s="1805" t="str">
        <f t="shared" si="267"/>
        <v/>
      </c>
      <c r="KC31" s="1805" t="str">
        <f t="shared" si="268"/>
        <v/>
      </c>
      <c r="KD31" s="1805" t="str">
        <f t="shared" si="269"/>
        <v/>
      </c>
      <c r="KE31" s="1805" t="str">
        <f t="shared" si="270"/>
        <v/>
      </c>
      <c r="KF31" s="1805" t="str">
        <f t="shared" si="271"/>
        <v/>
      </c>
      <c r="KG31" s="1805" t="str">
        <f t="shared" si="272"/>
        <v/>
      </c>
      <c r="KH31" s="1805" t="str">
        <f t="shared" si="273"/>
        <v/>
      </c>
      <c r="KI31" s="1805" t="str">
        <f t="shared" si="274"/>
        <v/>
      </c>
      <c r="KJ31" s="1805" t="str">
        <f t="shared" si="275"/>
        <v/>
      </c>
      <c r="KK31" s="1805" t="str">
        <f t="shared" si="276"/>
        <v/>
      </c>
      <c r="KL31" s="1805" t="str">
        <f t="shared" si="277"/>
        <v/>
      </c>
      <c r="KM31" s="1805" t="str">
        <f t="shared" si="278"/>
        <v/>
      </c>
      <c r="KN31" s="1805" t="str">
        <f t="shared" si="279"/>
        <v/>
      </c>
      <c r="KO31" s="1805" t="str">
        <f t="shared" si="280"/>
        <v/>
      </c>
      <c r="KP31" s="1805" t="str">
        <f t="shared" si="281"/>
        <v/>
      </c>
      <c r="KQ31" s="1805" t="str">
        <f t="shared" si="282"/>
        <v/>
      </c>
      <c r="KR31" s="1805" t="str">
        <f t="shared" si="283"/>
        <v/>
      </c>
      <c r="KS31" s="1805" t="str">
        <f t="shared" si="284"/>
        <v/>
      </c>
      <c r="KT31" s="1805" t="str">
        <f t="shared" si="285"/>
        <v/>
      </c>
      <c r="KU31" s="1805" t="str">
        <f t="shared" si="286"/>
        <v/>
      </c>
      <c r="KV31" s="1805" t="str">
        <f t="shared" si="287"/>
        <v/>
      </c>
      <c r="KW31" s="1805" t="str">
        <f t="shared" si="288"/>
        <v/>
      </c>
      <c r="KX31" s="1805" t="str">
        <f t="shared" si="289"/>
        <v/>
      </c>
      <c r="KY31" s="1805" t="str">
        <f t="shared" si="290"/>
        <v/>
      </c>
      <c r="KZ31" s="1805" t="str">
        <f t="shared" si="291"/>
        <v/>
      </c>
      <c r="LA31" s="1805" t="str">
        <f t="shared" si="292"/>
        <v/>
      </c>
      <c r="LB31" s="1805" t="str">
        <f t="shared" si="293"/>
        <v/>
      </c>
      <c r="LC31" s="1805" t="str">
        <f t="shared" si="294"/>
        <v/>
      </c>
      <c r="LD31" s="1805" t="str">
        <f t="shared" si="295"/>
        <v/>
      </c>
      <c r="LE31" s="1805" t="str">
        <f t="shared" si="296"/>
        <v/>
      </c>
      <c r="LF31" s="1805" t="str">
        <f t="shared" si="297"/>
        <v/>
      </c>
      <c r="LG31" s="1794" t="str">
        <f t="shared" si="298"/>
        <v/>
      </c>
      <c r="LH31" s="1794" t="str">
        <f t="shared" si="299"/>
        <v/>
      </c>
      <c r="LI31" s="1794" t="str">
        <f t="shared" si="300"/>
        <v/>
      </c>
      <c r="LJ31" s="1794" t="str">
        <f t="shared" si="301"/>
        <v/>
      </c>
      <c r="LK31" s="1794"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7">
        <f t="shared" si="323"/>
        <v>0</v>
      </c>
      <c r="MG31" s="1657">
        <f t="shared" si="324"/>
        <v>0</v>
      </c>
      <c r="MH31" s="1657">
        <f t="shared" si="325"/>
        <v>0</v>
      </c>
      <c r="MI31" s="1657">
        <f t="shared" si="326"/>
        <v>0</v>
      </c>
      <c r="MJ31" s="1657">
        <f t="shared" si="327"/>
        <v>0</v>
      </c>
      <c r="MK31" s="1657">
        <f t="shared" si="333"/>
        <v>0</v>
      </c>
      <c r="ML31" s="1657">
        <f t="shared" si="334"/>
        <v>0</v>
      </c>
      <c r="MM31" s="1657">
        <f t="shared" si="335"/>
        <v>0</v>
      </c>
      <c r="MN31" s="1657">
        <f t="shared" si="336"/>
        <v>0</v>
      </c>
      <c r="MO31" s="1657">
        <f t="shared" si="337"/>
        <v>0</v>
      </c>
      <c r="MP31" s="1657">
        <f t="shared" si="328"/>
        <v>0</v>
      </c>
      <c r="MQ31" s="1657">
        <f t="shared" si="329"/>
        <v>0</v>
      </c>
      <c r="MR31" s="1657">
        <f t="shared" si="330"/>
        <v>0</v>
      </c>
      <c r="MS31" s="1657">
        <f t="shared" si="331"/>
        <v>0</v>
      </c>
      <c r="MT31" s="1657">
        <f t="shared" si="332"/>
        <v>0</v>
      </c>
      <c r="NP31" s="1630" t="s">
        <v>4324</v>
      </c>
      <c r="NQ31" s="2481">
        <v>31</v>
      </c>
    </row>
    <row r="32" spans="1:381" ht="13.9" customHeight="1">
      <c r="A32" s="86" t="str">
        <f t="shared" si="0"/>
        <v/>
      </c>
      <c r="B32" s="1060"/>
      <c r="C32" s="132"/>
      <c r="D32" s="1660"/>
      <c r="E32" s="133"/>
      <c r="F32" s="133"/>
      <c r="G32" s="133"/>
      <c r="H32" s="133"/>
      <c r="I32" s="133"/>
      <c r="J32" s="743">
        <f>IF(C32="",0,HLOOKUP(C32,'Part IV-Utility Allowances'!$I$11:$M$22,12))</f>
        <v>0</v>
      </c>
      <c r="K32" s="632"/>
      <c r="L32" s="460">
        <f t="shared" si="1"/>
        <v>0</v>
      </c>
      <c r="M32" s="460">
        <f t="shared" si="2"/>
        <v>0</v>
      </c>
      <c r="N32" s="683"/>
      <c r="O32" s="1594"/>
      <c r="P32" s="683"/>
      <c r="Q32" s="134"/>
      <c r="R32" s="726"/>
      <c r="S32" s="727"/>
      <c r="T32" s="3453"/>
      <c r="U32" s="3454"/>
      <c r="V32" s="3454"/>
      <c r="W32" s="3455"/>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5" t="str">
        <f t="shared" si="213"/>
        <v/>
      </c>
      <c r="IA32" s="1805" t="str">
        <f t="shared" si="214"/>
        <v/>
      </c>
      <c r="IB32" s="1805" t="str">
        <f t="shared" si="215"/>
        <v/>
      </c>
      <c r="IC32" s="1805" t="str">
        <f t="shared" si="216"/>
        <v/>
      </c>
      <c r="ID32" s="1805" t="str">
        <f t="shared" si="217"/>
        <v/>
      </c>
      <c r="IE32" s="1805" t="str">
        <f t="shared" si="218"/>
        <v/>
      </c>
      <c r="IF32" s="1805" t="str">
        <f t="shared" si="219"/>
        <v/>
      </c>
      <c r="IG32" s="1805" t="str">
        <f t="shared" si="220"/>
        <v/>
      </c>
      <c r="IH32" s="1805" t="str">
        <f t="shared" si="221"/>
        <v/>
      </c>
      <c r="II32" s="1805" t="str">
        <f t="shared" si="222"/>
        <v/>
      </c>
      <c r="IJ32" s="1805" t="str">
        <f t="shared" si="223"/>
        <v/>
      </c>
      <c r="IK32" s="1805" t="str">
        <f t="shared" si="224"/>
        <v/>
      </c>
      <c r="IL32" s="1805" t="str">
        <f t="shared" si="225"/>
        <v/>
      </c>
      <c r="IM32" s="1805" t="str">
        <f t="shared" si="226"/>
        <v/>
      </c>
      <c r="IN32" s="1805" t="str">
        <f t="shared" si="227"/>
        <v/>
      </c>
      <c r="IO32" s="1805" t="str">
        <f t="shared" si="228"/>
        <v/>
      </c>
      <c r="IP32" s="1805" t="str">
        <f t="shared" si="229"/>
        <v/>
      </c>
      <c r="IQ32" s="1805" t="str">
        <f t="shared" si="230"/>
        <v/>
      </c>
      <c r="IR32" s="1805" t="str">
        <f t="shared" si="231"/>
        <v/>
      </c>
      <c r="IS32" s="1805" t="str">
        <f t="shared" si="232"/>
        <v/>
      </c>
      <c r="IT32" s="1805" t="str">
        <f t="shared" si="233"/>
        <v/>
      </c>
      <c r="IU32" s="1805" t="str">
        <f t="shared" si="234"/>
        <v/>
      </c>
      <c r="IV32" s="1805" t="str">
        <f t="shared" si="235"/>
        <v/>
      </c>
      <c r="IW32" s="1805" t="str">
        <f t="shared" si="236"/>
        <v/>
      </c>
      <c r="IX32" s="1805" t="str">
        <f t="shared" si="237"/>
        <v/>
      </c>
      <c r="IY32" s="1805" t="str">
        <f t="shared" si="238"/>
        <v/>
      </c>
      <c r="IZ32" s="1805" t="str">
        <f t="shared" si="239"/>
        <v/>
      </c>
      <c r="JA32" s="1805" t="str">
        <f t="shared" si="240"/>
        <v/>
      </c>
      <c r="JB32" s="1805" t="str">
        <f t="shared" si="241"/>
        <v/>
      </c>
      <c r="JC32" s="1805" t="str">
        <f t="shared" si="242"/>
        <v/>
      </c>
      <c r="JD32" s="1805" t="str">
        <f t="shared" si="243"/>
        <v/>
      </c>
      <c r="JE32" s="1805" t="str">
        <f t="shared" si="244"/>
        <v/>
      </c>
      <c r="JF32" s="1805" t="str">
        <f t="shared" si="245"/>
        <v/>
      </c>
      <c r="JG32" s="1805" t="str">
        <f t="shared" si="246"/>
        <v/>
      </c>
      <c r="JH32" s="1805" t="str">
        <f t="shared" si="247"/>
        <v/>
      </c>
      <c r="JI32" s="1805" t="str">
        <f t="shared" si="248"/>
        <v/>
      </c>
      <c r="JJ32" s="1805" t="str">
        <f t="shared" si="249"/>
        <v/>
      </c>
      <c r="JK32" s="1805" t="str">
        <f t="shared" si="250"/>
        <v/>
      </c>
      <c r="JL32" s="1805" t="str">
        <f t="shared" si="251"/>
        <v/>
      </c>
      <c r="JM32" s="1805" t="str">
        <f t="shared" si="252"/>
        <v/>
      </c>
      <c r="JN32" s="1805" t="str">
        <f t="shared" si="253"/>
        <v/>
      </c>
      <c r="JO32" s="1805" t="str">
        <f t="shared" si="254"/>
        <v/>
      </c>
      <c r="JP32" s="1805" t="str">
        <f t="shared" si="255"/>
        <v/>
      </c>
      <c r="JQ32" s="1805" t="str">
        <f t="shared" si="256"/>
        <v/>
      </c>
      <c r="JR32" s="1805" t="str">
        <f t="shared" si="257"/>
        <v/>
      </c>
      <c r="JS32" s="1805" t="str">
        <f t="shared" si="258"/>
        <v/>
      </c>
      <c r="JT32" s="1805" t="str">
        <f t="shared" si="259"/>
        <v/>
      </c>
      <c r="JU32" s="1805" t="str">
        <f t="shared" si="260"/>
        <v/>
      </c>
      <c r="JV32" s="1805" t="str">
        <f t="shared" si="261"/>
        <v/>
      </c>
      <c r="JW32" s="1805" t="str">
        <f t="shared" si="262"/>
        <v/>
      </c>
      <c r="JX32" s="1805" t="str">
        <f t="shared" si="263"/>
        <v/>
      </c>
      <c r="JY32" s="1805" t="str">
        <f t="shared" si="264"/>
        <v/>
      </c>
      <c r="JZ32" s="1805" t="str">
        <f t="shared" si="265"/>
        <v/>
      </c>
      <c r="KA32" s="1805" t="str">
        <f t="shared" si="266"/>
        <v/>
      </c>
      <c r="KB32" s="1805" t="str">
        <f t="shared" si="267"/>
        <v/>
      </c>
      <c r="KC32" s="1805" t="str">
        <f t="shared" si="268"/>
        <v/>
      </c>
      <c r="KD32" s="1805" t="str">
        <f t="shared" si="269"/>
        <v/>
      </c>
      <c r="KE32" s="1805" t="str">
        <f t="shared" si="270"/>
        <v/>
      </c>
      <c r="KF32" s="1805" t="str">
        <f t="shared" si="271"/>
        <v/>
      </c>
      <c r="KG32" s="1805" t="str">
        <f t="shared" si="272"/>
        <v/>
      </c>
      <c r="KH32" s="1805" t="str">
        <f t="shared" si="273"/>
        <v/>
      </c>
      <c r="KI32" s="1805" t="str">
        <f t="shared" si="274"/>
        <v/>
      </c>
      <c r="KJ32" s="1805" t="str">
        <f t="shared" si="275"/>
        <v/>
      </c>
      <c r="KK32" s="1805" t="str">
        <f t="shared" si="276"/>
        <v/>
      </c>
      <c r="KL32" s="1805" t="str">
        <f t="shared" si="277"/>
        <v/>
      </c>
      <c r="KM32" s="1805" t="str">
        <f t="shared" si="278"/>
        <v/>
      </c>
      <c r="KN32" s="1805" t="str">
        <f t="shared" si="279"/>
        <v/>
      </c>
      <c r="KO32" s="1805" t="str">
        <f t="shared" si="280"/>
        <v/>
      </c>
      <c r="KP32" s="1805" t="str">
        <f t="shared" si="281"/>
        <v/>
      </c>
      <c r="KQ32" s="1805" t="str">
        <f t="shared" si="282"/>
        <v/>
      </c>
      <c r="KR32" s="1805" t="str">
        <f t="shared" si="283"/>
        <v/>
      </c>
      <c r="KS32" s="1805" t="str">
        <f t="shared" si="284"/>
        <v/>
      </c>
      <c r="KT32" s="1805" t="str">
        <f t="shared" si="285"/>
        <v/>
      </c>
      <c r="KU32" s="1805" t="str">
        <f t="shared" si="286"/>
        <v/>
      </c>
      <c r="KV32" s="1805" t="str">
        <f t="shared" si="287"/>
        <v/>
      </c>
      <c r="KW32" s="1805" t="str">
        <f t="shared" si="288"/>
        <v/>
      </c>
      <c r="KX32" s="1805" t="str">
        <f t="shared" si="289"/>
        <v/>
      </c>
      <c r="KY32" s="1805" t="str">
        <f t="shared" si="290"/>
        <v/>
      </c>
      <c r="KZ32" s="1805" t="str">
        <f t="shared" si="291"/>
        <v/>
      </c>
      <c r="LA32" s="1805" t="str">
        <f t="shared" si="292"/>
        <v/>
      </c>
      <c r="LB32" s="1805" t="str">
        <f t="shared" si="293"/>
        <v/>
      </c>
      <c r="LC32" s="1805" t="str">
        <f t="shared" si="294"/>
        <v/>
      </c>
      <c r="LD32" s="1805" t="str">
        <f t="shared" si="295"/>
        <v/>
      </c>
      <c r="LE32" s="1805" t="str">
        <f t="shared" si="296"/>
        <v/>
      </c>
      <c r="LF32" s="1805" t="str">
        <f t="shared" si="297"/>
        <v/>
      </c>
      <c r="LG32" s="1794" t="str">
        <f t="shared" si="298"/>
        <v/>
      </c>
      <c r="LH32" s="1794" t="str">
        <f t="shared" si="299"/>
        <v/>
      </c>
      <c r="LI32" s="1794" t="str">
        <f t="shared" si="300"/>
        <v/>
      </c>
      <c r="LJ32" s="1794" t="str">
        <f t="shared" si="301"/>
        <v/>
      </c>
      <c r="LK32" s="1794"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7">
        <f t="shared" si="323"/>
        <v>0</v>
      </c>
      <c r="MG32" s="1657">
        <f t="shared" si="324"/>
        <v>0</v>
      </c>
      <c r="MH32" s="1657">
        <f t="shared" si="325"/>
        <v>0</v>
      </c>
      <c r="MI32" s="1657">
        <f t="shared" si="326"/>
        <v>0</v>
      </c>
      <c r="MJ32" s="1657">
        <f t="shared" si="327"/>
        <v>0</v>
      </c>
      <c r="MK32" s="1657">
        <f t="shared" si="333"/>
        <v>0</v>
      </c>
      <c r="ML32" s="1657">
        <f t="shared" si="334"/>
        <v>0</v>
      </c>
      <c r="MM32" s="1657">
        <f t="shared" si="335"/>
        <v>0</v>
      </c>
      <c r="MN32" s="1657">
        <f t="shared" si="336"/>
        <v>0</v>
      </c>
      <c r="MO32" s="1657">
        <f t="shared" si="337"/>
        <v>0</v>
      </c>
      <c r="MP32" s="1657">
        <f t="shared" si="328"/>
        <v>0</v>
      </c>
      <c r="MQ32" s="1657">
        <f t="shared" si="329"/>
        <v>0</v>
      </c>
      <c r="MR32" s="1657">
        <f t="shared" si="330"/>
        <v>0</v>
      </c>
      <c r="MS32" s="1657">
        <f t="shared" si="331"/>
        <v>0</v>
      </c>
      <c r="MT32" s="1657">
        <f t="shared" si="332"/>
        <v>0</v>
      </c>
      <c r="NP32" s="1630" t="s">
        <v>4325</v>
      </c>
      <c r="NQ32" s="2480">
        <v>32</v>
      </c>
    </row>
    <row r="33" spans="1:381" ht="13.9" customHeight="1">
      <c r="A33" s="86" t="str">
        <f t="shared" si="0"/>
        <v/>
      </c>
      <c r="B33" s="1060"/>
      <c r="C33" s="132"/>
      <c r="D33" s="1660"/>
      <c r="E33" s="133"/>
      <c r="F33" s="133"/>
      <c r="G33" s="133"/>
      <c r="H33" s="133"/>
      <c r="I33" s="133"/>
      <c r="J33" s="743">
        <f>IF(C33="",0,HLOOKUP(C33,'Part IV-Utility Allowances'!$I$11:$M$22,12))</f>
        <v>0</v>
      </c>
      <c r="K33" s="632"/>
      <c r="L33" s="460">
        <f t="shared" si="1"/>
        <v>0</v>
      </c>
      <c r="M33" s="460">
        <f t="shared" si="2"/>
        <v>0</v>
      </c>
      <c r="N33" s="683"/>
      <c r="O33" s="1594"/>
      <c r="P33" s="683"/>
      <c r="Q33" s="134"/>
      <c r="R33" s="726"/>
      <c r="S33" s="727"/>
      <c r="T33" s="3453"/>
      <c r="U33" s="3454"/>
      <c r="V33" s="3454"/>
      <c r="W33" s="3455"/>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5" t="str">
        <f t="shared" si="213"/>
        <v/>
      </c>
      <c r="IA33" s="1805" t="str">
        <f t="shared" si="214"/>
        <v/>
      </c>
      <c r="IB33" s="1805" t="str">
        <f t="shared" si="215"/>
        <v/>
      </c>
      <c r="IC33" s="1805" t="str">
        <f t="shared" si="216"/>
        <v/>
      </c>
      <c r="ID33" s="1805" t="str">
        <f t="shared" si="217"/>
        <v/>
      </c>
      <c r="IE33" s="1805" t="str">
        <f t="shared" si="218"/>
        <v/>
      </c>
      <c r="IF33" s="1805" t="str">
        <f t="shared" si="219"/>
        <v/>
      </c>
      <c r="IG33" s="1805" t="str">
        <f t="shared" si="220"/>
        <v/>
      </c>
      <c r="IH33" s="1805" t="str">
        <f t="shared" si="221"/>
        <v/>
      </c>
      <c r="II33" s="1805" t="str">
        <f t="shared" si="222"/>
        <v/>
      </c>
      <c r="IJ33" s="1805" t="str">
        <f t="shared" si="223"/>
        <v/>
      </c>
      <c r="IK33" s="1805" t="str">
        <f t="shared" si="224"/>
        <v/>
      </c>
      <c r="IL33" s="1805" t="str">
        <f t="shared" si="225"/>
        <v/>
      </c>
      <c r="IM33" s="1805" t="str">
        <f t="shared" si="226"/>
        <v/>
      </c>
      <c r="IN33" s="1805" t="str">
        <f t="shared" si="227"/>
        <v/>
      </c>
      <c r="IO33" s="1805" t="str">
        <f t="shared" si="228"/>
        <v/>
      </c>
      <c r="IP33" s="1805" t="str">
        <f t="shared" si="229"/>
        <v/>
      </c>
      <c r="IQ33" s="1805" t="str">
        <f t="shared" si="230"/>
        <v/>
      </c>
      <c r="IR33" s="1805" t="str">
        <f t="shared" si="231"/>
        <v/>
      </c>
      <c r="IS33" s="1805" t="str">
        <f t="shared" si="232"/>
        <v/>
      </c>
      <c r="IT33" s="1805" t="str">
        <f t="shared" si="233"/>
        <v/>
      </c>
      <c r="IU33" s="1805" t="str">
        <f t="shared" si="234"/>
        <v/>
      </c>
      <c r="IV33" s="1805" t="str">
        <f t="shared" si="235"/>
        <v/>
      </c>
      <c r="IW33" s="1805" t="str">
        <f t="shared" si="236"/>
        <v/>
      </c>
      <c r="IX33" s="1805" t="str">
        <f t="shared" si="237"/>
        <v/>
      </c>
      <c r="IY33" s="1805" t="str">
        <f t="shared" si="238"/>
        <v/>
      </c>
      <c r="IZ33" s="1805" t="str">
        <f t="shared" si="239"/>
        <v/>
      </c>
      <c r="JA33" s="1805" t="str">
        <f t="shared" si="240"/>
        <v/>
      </c>
      <c r="JB33" s="1805" t="str">
        <f t="shared" si="241"/>
        <v/>
      </c>
      <c r="JC33" s="1805" t="str">
        <f t="shared" si="242"/>
        <v/>
      </c>
      <c r="JD33" s="1805" t="str">
        <f t="shared" si="243"/>
        <v/>
      </c>
      <c r="JE33" s="1805" t="str">
        <f t="shared" si="244"/>
        <v/>
      </c>
      <c r="JF33" s="1805" t="str">
        <f t="shared" si="245"/>
        <v/>
      </c>
      <c r="JG33" s="1805" t="str">
        <f t="shared" si="246"/>
        <v/>
      </c>
      <c r="JH33" s="1805" t="str">
        <f t="shared" si="247"/>
        <v/>
      </c>
      <c r="JI33" s="1805" t="str">
        <f t="shared" si="248"/>
        <v/>
      </c>
      <c r="JJ33" s="1805" t="str">
        <f t="shared" si="249"/>
        <v/>
      </c>
      <c r="JK33" s="1805" t="str">
        <f t="shared" si="250"/>
        <v/>
      </c>
      <c r="JL33" s="1805" t="str">
        <f t="shared" si="251"/>
        <v/>
      </c>
      <c r="JM33" s="1805" t="str">
        <f t="shared" si="252"/>
        <v/>
      </c>
      <c r="JN33" s="1805" t="str">
        <f t="shared" si="253"/>
        <v/>
      </c>
      <c r="JO33" s="1805" t="str">
        <f t="shared" si="254"/>
        <v/>
      </c>
      <c r="JP33" s="1805" t="str">
        <f t="shared" si="255"/>
        <v/>
      </c>
      <c r="JQ33" s="1805" t="str">
        <f t="shared" si="256"/>
        <v/>
      </c>
      <c r="JR33" s="1805" t="str">
        <f t="shared" si="257"/>
        <v/>
      </c>
      <c r="JS33" s="1805" t="str">
        <f t="shared" si="258"/>
        <v/>
      </c>
      <c r="JT33" s="1805" t="str">
        <f t="shared" si="259"/>
        <v/>
      </c>
      <c r="JU33" s="1805" t="str">
        <f t="shared" si="260"/>
        <v/>
      </c>
      <c r="JV33" s="1805" t="str">
        <f t="shared" si="261"/>
        <v/>
      </c>
      <c r="JW33" s="1805" t="str">
        <f t="shared" si="262"/>
        <v/>
      </c>
      <c r="JX33" s="1805" t="str">
        <f t="shared" si="263"/>
        <v/>
      </c>
      <c r="JY33" s="1805" t="str">
        <f t="shared" si="264"/>
        <v/>
      </c>
      <c r="JZ33" s="1805" t="str">
        <f t="shared" si="265"/>
        <v/>
      </c>
      <c r="KA33" s="1805" t="str">
        <f t="shared" si="266"/>
        <v/>
      </c>
      <c r="KB33" s="1805" t="str">
        <f t="shared" si="267"/>
        <v/>
      </c>
      <c r="KC33" s="1805" t="str">
        <f t="shared" si="268"/>
        <v/>
      </c>
      <c r="KD33" s="1805" t="str">
        <f t="shared" si="269"/>
        <v/>
      </c>
      <c r="KE33" s="1805" t="str">
        <f t="shared" si="270"/>
        <v/>
      </c>
      <c r="KF33" s="1805" t="str">
        <f t="shared" si="271"/>
        <v/>
      </c>
      <c r="KG33" s="1805" t="str">
        <f t="shared" si="272"/>
        <v/>
      </c>
      <c r="KH33" s="1805" t="str">
        <f t="shared" si="273"/>
        <v/>
      </c>
      <c r="KI33" s="1805" t="str">
        <f t="shared" si="274"/>
        <v/>
      </c>
      <c r="KJ33" s="1805" t="str">
        <f t="shared" si="275"/>
        <v/>
      </c>
      <c r="KK33" s="1805" t="str">
        <f t="shared" si="276"/>
        <v/>
      </c>
      <c r="KL33" s="1805" t="str">
        <f t="shared" si="277"/>
        <v/>
      </c>
      <c r="KM33" s="1805" t="str">
        <f t="shared" si="278"/>
        <v/>
      </c>
      <c r="KN33" s="1805" t="str">
        <f t="shared" si="279"/>
        <v/>
      </c>
      <c r="KO33" s="1805" t="str">
        <f t="shared" si="280"/>
        <v/>
      </c>
      <c r="KP33" s="1805" t="str">
        <f t="shared" si="281"/>
        <v/>
      </c>
      <c r="KQ33" s="1805" t="str">
        <f t="shared" si="282"/>
        <v/>
      </c>
      <c r="KR33" s="1805" t="str">
        <f t="shared" si="283"/>
        <v/>
      </c>
      <c r="KS33" s="1805" t="str">
        <f t="shared" si="284"/>
        <v/>
      </c>
      <c r="KT33" s="1805" t="str">
        <f t="shared" si="285"/>
        <v/>
      </c>
      <c r="KU33" s="1805" t="str">
        <f t="shared" si="286"/>
        <v/>
      </c>
      <c r="KV33" s="1805" t="str">
        <f t="shared" si="287"/>
        <v/>
      </c>
      <c r="KW33" s="1805" t="str">
        <f t="shared" si="288"/>
        <v/>
      </c>
      <c r="KX33" s="1805" t="str">
        <f t="shared" si="289"/>
        <v/>
      </c>
      <c r="KY33" s="1805" t="str">
        <f t="shared" si="290"/>
        <v/>
      </c>
      <c r="KZ33" s="1805" t="str">
        <f t="shared" si="291"/>
        <v/>
      </c>
      <c r="LA33" s="1805" t="str">
        <f t="shared" si="292"/>
        <v/>
      </c>
      <c r="LB33" s="1805" t="str">
        <f t="shared" si="293"/>
        <v/>
      </c>
      <c r="LC33" s="1805" t="str">
        <f t="shared" si="294"/>
        <v/>
      </c>
      <c r="LD33" s="1805" t="str">
        <f t="shared" si="295"/>
        <v/>
      </c>
      <c r="LE33" s="1805" t="str">
        <f t="shared" si="296"/>
        <v/>
      </c>
      <c r="LF33" s="1805" t="str">
        <f t="shared" si="297"/>
        <v/>
      </c>
      <c r="LG33" s="1794" t="str">
        <f t="shared" si="298"/>
        <v/>
      </c>
      <c r="LH33" s="1794" t="str">
        <f t="shared" si="299"/>
        <v/>
      </c>
      <c r="LI33" s="1794" t="str">
        <f t="shared" si="300"/>
        <v/>
      </c>
      <c r="LJ33" s="1794" t="str">
        <f t="shared" si="301"/>
        <v/>
      </c>
      <c r="LK33" s="1794"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7">
        <f t="shared" si="323"/>
        <v>0</v>
      </c>
      <c r="MG33" s="1657">
        <f t="shared" si="324"/>
        <v>0</v>
      </c>
      <c r="MH33" s="1657">
        <f t="shared" si="325"/>
        <v>0</v>
      </c>
      <c r="MI33" s="1657">
        <f t="shared" si="326"/>
        <v>0</v>
      </c>
      <c r="MJ33" s="1657">
        <f t="shared" si="327"/>
        <v>0</v>
      </c>
      <c r="MK33" s="1657">
        <f t="shared" si="333"/>
        <v>0</v>
      </c>
      <c r="ML33" s="1657">
        <f t="shared" si="334"/>
        <v>0</v>
      </c>
      <c r="MM33" s="1657">
        <f t="shared" si="335"/>
        <v>0</v>
      </c>
      <c r="MN33" s="1657">
        <f t="shared" si="336"/>
        <v>0</v>
      </c>
      <c r="MO33" s="1657">
        <f t="shared" si="337"/>
        <v>0</v>
      </c>
      <c r="MP33" s="1657">
        <f t="shared" si="328"/>
        <v>0</v>
      </c>
      <c r="MQ33" s="1657">
        <f t="shared" si="329"/>
        <v>0</v>
      </c>
      <c r="MR33" s="1657">
        <f t="shared" si="330"/>
        <v>0</v>
      </c>
      <c r="MS33" s="1657">
        <f t="shared" si="331"/>
        <v>0</v>
      </c>
      <c r="MT33" s="1657">
        <f t="shared" si="332"/>
        <v>0</v>
      </c>
      <c r="NP33" s="1630" t="s">
        <v>4326</v>
      </c>
      <c r="NQ33" s="2478">
        <v>33</v>
      </c>
    </row>
    <row r="34" spans="1:381" ht="13.9" customHeight="1">
      <c r="A34" s="86" t="str">
        <f t="shared" si="0"/>
        <v/>
      </c>
      <c r="B34" s="1060"/>
      <c r="C34" s="132"/>
      <c r="D34" s="1660"/>
      <c r="E34" s="133"/>
      <c r="F34" s="133"/>
      <c r="G34" s="133"/>
      <c r="H34" s="133"/>
      <c r="I34" s="133"/>
      <c r="J34" s="743">
        <f>IF(C34="",0,HLOOKUP(C34,'Part IV-Utility Allowances'!$I$11:$M$22,12))</f>
        <v>0</v>
      </c>
      <c r="K34" s="632"/>
      <c r="L34" s="460">
        <f t="shared" si="1"/>
        <v>0</v>
      </c>
      <c r="M34" s="460">
        <f t="shared" si="2"/>
        <v>0</v>
      </c>
      <c r="N34" s="683"/>
      <c r="O34" s="1594"/>
      <c r="P34" s="683"/>
      <c r="Q34" s="134"/>
      <c r="R34" s="726"/>
      <c r="S34" s="727"/>
      <c r="T34" s="3453"/>
      <c r="U34" s="3454"/>
      <c r="V34" s="3454"/>
      <c r="W34" s="3455"/>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5" t="str">
        <f t="shared" si="213"/>
        <v/>
      </c>
      <c r="IA34" s="1805" t="str">
        <f t="shared" si="214"/>
        <v/>
      </c>
      <c r="IB34" s="1805" t="str">
        <f t="shared" si="215"/>
        <v/>
      </c>
      <c r="IC34" s="1805" t="str">
        <f t="shared" si="216"/>
        <v/>
      </c>
      <c r="ID34" s="1805" t="str">
        <f t="shared" si="217"/>
        <v/>
      </c>
      <c r="IE34" s="1805" t="str">
        <f t="shared" si="218"/>
        <v/>
      </c>
      <c r="IF34" s="1805" t="str">
        <f t="shared" si="219"/>
        <v/>
      </c>
      <c r="IG34" s="1805" t="str">
        <f t="shared" si="220"/>
        <v/>
      </c>
      <c r="IH34" s="1805" t="str">
        <f t="shared" si="221"/>
        <v/>
      </c>
      <c r="II34" s="1805" t="str">
        <f t="shared" si="222"/>
        <v/>
      </c>
      <c r="IJ34" s="1805" t="str">
        <f t="shared" si="223"/>
        <v/>
      </c>
      <c r="IK34" s="1805" t="str">
        <f t="shared" si="224"/>
        <v/>
      </c>
      <c r="IL34" s="1805" t="str">
        <f t="shared" si="225"/>
        <v/>
      </c>
      <c r="IM34" s="1805" t="str">
        <f t="shared" si="226"/>
        <v/>
      </c>
      <c r="IN34" s="1805" t="str">
        <f t="shared" si="227"/>
        <v/>
      </c>
      <c r="IO34" s="1805" t="str">
        <f t="shared" si="228"/>
        <v/>
      </c>
      <c r="IP34" s="1805" t="str">
        <f t="shared" si="229"/>
        <v/>
      </c>
      <c r="IQ34" s="1805" t="str">
        <f t="shared" si="230"/>
        <v/>
      </c>
      <c r="IR34" s="1805" t="str">
        <f t="shared" si="231"/>
        <v/>
      </c>
      <c r="IS34" s="1805" t="str">
        <f t="shared" si="232"/>
        <v/>
      </c>
      <c r="IT34" s="1805" t="str">
        <f t="shared" si="233"/>
        <v/>
      </c>
      <c r="IU34" s="1805" t="str">
        <f t="shared" si="234"/>
        <v/>
      </c>
      <c r="IV34" s="1805" t="str">
        <f t="shared" si="235"/>
        <v/>
      </c>
      <c r="IW34" s="1805" t="str">
        <f t="shared" si="236"/>
        <v/>
      </c>
      <c r="IX34" s="1805" t="str">
        <f t="shared" si="237"/>
        <v/>
      </c>
      <c r="IY34" s="1805" t="str">
        <f t="shared" si="238"/>
        <v/>
      </c>
      <c r="IZ34" s="1805" t="str">
        <f t="shared" si="239"/>
        <v/>
      </c>
      <c r="JA34" s="1805" t="str">
        <f t="shared" si="240"/>
        <v/>
      </c>
      <c r="JB34" s="1805" t="str">
        <f t="shared" si="241"/>
        <v/>
      </c>
      <c r="JC34" s="1805" t="str">
        <f t="shared" si="242"/>
        <v/>
      </c>
      <c r="JD34" s="1805" t="str">
        <f t="shared" si="243"/>
        <v/>
      </c>
      <c r="JE34" s="1805" t="str">
        <f t="shared" si="244"/>
        <v/>
      </c>
      <c r="JF34" s="1805" t="str">
        <f t="shared" si="245"/>
        <v/>
      </c>
      <c r="JG34" s="1805" t="str">
        <f t="shared" si="246"/>
        <v/>
      </c>
      <c r="JH34" s="1805" t="str">
        <f t="shared" si="247"/>
        <v/>
      </c>
      <c r="JI34" s="1805" t="str">
        <f t="shared" si="248"/>
        <v/>
      </c>
      <c r="JJ34" s="1805" t="str">
        <f t="shared" si="249"/>
        <v/>
      </c>
      <c r="JK34" s="1805" t="str">
        <f t="shared" si="250"/>
        <v/>
      </c>
      <c r="JL34" s="1805" t="str">
        <f t="shared" si="251"/>
        <v/>
      </c>
      <c r="JM34" s="1805" t="str">
        <f t="shared" si="252"/>
        <v/>
      </c>
      <c r="JN34" s="1805" t="str">
        <f t="shared" si="253"/>
        <v/>
      </c>
      <c r="JO34" s="1805" t="str">
        <f t="shared" si="254"/>
        <v/>
      </c>
      <c r="JP34" s="1805" t="str">
        <f t="shared" si="255"/>
        <v/>
      </c>
      <c r="JQ34" s="1805" t="str">
        <f t="shared" si="256"/>
        <v/>
      </c>
      <c r="JR34" s="1805" t="str">
        <f t="shared" si="257"/>
        <v/>
      </c>
      <c r="JS34" s="1805" t="str">
        <f t="shared" si="258"/>
        <v/>
      </c>
      <c r="JT34" s="1805" t="str">
        <f t="shared" si="259"/>
        <v/>
      </c>
      <c r="JU34" s="1805" t="str">
        <f t="shared" si="260"/>
        <v/>
      </c>
      <c r="JV34" s="1805" t="str">
        <f t="shared" si="261"/>
        <v/>
      </c>
      <c r="JW34" s="1805" t="str">
        <f t="shared" si="262"/>
        <v/>
      </c>
      <c r="JX34" s="1805" t="str">
        <f t="shared" si="263"/>
        <v/>
      </c>
      <c r="JY34" s="1805" t="str">
        <f t="shared" si="264"/>
        <v/>
      </c>
      <c r="JZ34" s="1805" t="str">
        <f t="shared" si="265"/>
        <v/>
      </c>
      <c r="KA34" s="1805" t="str">
        <f t="shared" si="266"/>
        <v/>
      </c>
      <c r="KB34" s="1805" t="str">
        <f t="shared" si="267"/>
        <v/>
      </c>
      <c r="KC34" s="1805" t="str">
        <f t="shared" si="268"/>
        <v/>
      </c>
      <c r="KD34" s="1805" t="str">
        <f t="shared" si="269"/>
        <v/>
      </c>
      <c r="KE34" s="1805" t="str">
        <f t="shared" si="270"/>
        <v/>
      </c>
      <c r="KF34" s="1805" t="str">
        <f t="shared" si="271"/>
        <v/>
      </c>
      <c r="KG34" s="1805" t="str">
        <f t="shared" si="272"/>
        <v/>
      </c>
      <c r="KH34" s="1805" t="str">
        <f t="shared" si="273"/>
        <v/>
      </c>
      <c r="KI34" s="1805" t="str">
        <f t="shared" si="274"/>
        <v/>
      </c>
      <c r="KJ34" s="1805" t="str">
        <f t="shared" si="275"/>
        <v/>
      </c>
      <c r="KK34" s="1805" t="str">
        <f t="shared" si="276"/>
        <v/>
      </c>
      <c r="KL34" s="1805" t="str">
        <f t="shared" si="277"/>
        <v/>
      </c>
      <c r="KM34" s="1805" t="str">
        <f t="shared" si="278"/>
        <v/>
      </c>
      <c r="KN34" s="1805" t="str">
        <f t="shared" si="279"/>
        <v/>
      </c>
      <c r="KO34" s="1805" t="str">
        <f t="shared" si="280"/>
        <v/>
      </c>
      <c r="KP34" s="1805" t="str">
        <f t="shared" si="281"/>
        <v/>
      </c>
      <c r="KQ34" s="1805" t="str">
        <f t="shared" si="282"/>
        <v/>
      </c>
      <c r="KR34" s="1805" t="str">
        <f t="shared" si="283"/>
        <v/>
      </c>
      <c r="KS34" s="1805" t="str">
        <f t="shared" si="284"/>
        <v/>
      </c>
      <c r="KT34" s="1805" t="str">
        <f t="shared" si="285"/>
        <v/>
      </c>
      <c r="KU34" s="1805" t="str">
        <f t="shared" si="286"/>
        <v/>
      </c>
      <c r="KV34" s="1805" t="str">
        <f t="shared" si="287"/>
        <v/>
      </c>
      <c r="KW34" s="1805" t="str">
        <f t="shared" si="288"/>
        <v/>
      </c>
      <c r="KX34" s="1805" t="str">
        <f t="shared" si="289"/>
        <v/>
      </c>
      <c r="KY34" s="1805" t="str">
        <f t="shared" si="290"/>
        <v/>
      </c>
      <c r="KZ34" s="1805" t="str">
        <f t="shared" si="291"/>
        <v/>
      </c>
      <c r="LA34" s="1805" t="str">
        <f t="shared" si="292"/>
        <v/>
      </c>
      <c r="LB34" s="1805" t="str">
        <f t="shared" si="293"/>
        <v/>
      </c>
      <c r="LC34" s="1805" t="str">
        <f t="shared" si="294"/>
        <v/>
      </c>
      <c r="LD34" s="1805" t="str">
        <f t="shared" si="295"/>
        <v/>
      </c>
      <c r="LE34" s="1805" t="str">
        <f t="shared" si="296"/>
        <v/>
      </c>
      <c r="LF34" s="1805" t="str">
        <f t="shared" si="297"/>
        <v/>
      </c>
      <c r="LG34" s="1794" t="str">
        <f t="shared" si="298"/>
        <v/>
      </c>
      <c r="LH34" s="1794" t="str">
        <f t="shared" si="299"/>
        <v/>
      </c>
      <c r="LI34" s="1794" t="str">
        <f t="shared" si="300"/>
        <v/>
      </c>
      <c r="LJ34" s="1794" t="str">
        <f t="shared" si="301"/>
        <v/>
      </c>
      <c r="LK34" s="1794"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7">
        <f t="shared" si="323"/>
        <v>0</v>
      </c>
      <c r="MG34" s="1657">
        <f t="shared" si="324"/>
        <v>0</v>
      </c>
      <c r="MH34" s="1657">
        <f t="shared" si="325"/>
        <v>0</v>
      </c>
      <c r="MI34" s="1657">
        <f t="shared" si="326"/>
        <v>0</v>
      </c>
      <c r="MJ34" s="1657">
        <f t="shared" si="327"/>
        <v>0</v>
      </c>
      <c r="MK34" s="1657">
        <f t="shared" si="333"/>
        <v>0</v>
      </c>
      <c r="ML34" s="1657">
        <f t="shared" si="334"/>
        <v>0</v>
      </c>
      <c r="MM34" s="1657">
        <f t="shared" si="335"/>
        <v>0</v>
      </c>
      <c r="MN34" s="1657">
        <f t="shared" si="336"/>
        <v>0</v>
      </c>
      <c r="MO34" s="1657">
        <f t="shared" si="337"/>
        <v>0</v>
      </c>
      <c r="MP34" s="1657">
        <f t="shared" si="328"/>
        <v>0</v>
      </c>
      <c r="MQ34" s="1657">
        <f t="shared" si="329"/>
        <v>0</v>
      </c>
      <c r="MR34" s="1657">
        <f t="shared" si="330"/>
        <v>0</v>
      </c>
      <c r="MS34" s="1657">
        <f t="shared" si="331"/>
        <v>0</v>
      </c>
      <c r="MT34" s="1657">
        <f t="shared" si="332"/>
        <v>0</v>
      </c>
      <c r="NP34" s="1630" t="s">
        <v>4327</v>
      </c>
      <c r="NQ34" s="2480">
        <v>34</v>
      </c>
    </row>
    <row r="35" spans="1:381" ht="13.9" customHeight="1">
      <c r="A35" s="86" t="str">
        <f t="shared" si="0"/>
        <v/>
      </c>
      <c r="B35" s="1060"/>
      <c r="C35" s="132"/>
      <c r="D35" s="1660"/>
      <c r="E35" s="133"/>
      <c r="F35" s="133"/>
      <c r="G35" s="133"/>
      <c r="H35" s="133"/>
      <c r="I35" s="133"/>
      <c r="J35" s="743">
        <f>IF(C35="",0,HLOOKUP(C35,'Part IV-Utility Allowances'!$I$11:$M$22,12))</f>
        <v>0</v>
      </c>
      <c r="K35" s="632"/>
      <c r="L35" s="460">
        <f t="shared" si="1"/>
        <v>0</v>
      </c>
      <c r="M35" s="460">
        <f t="shared" si="2"/>
        <v>0</v>
      </c>
      <c r="N35" s="683"/>
      <c r="O35" s="1594"/>
      <c r="P35" s="683"/>
      <c r="Q35" s="134"/>
      <c r="R35" s="726"/>
      <c r="S35" s="727"/>
      <c r="T35" s="3453"/>
      <c r="U35" s="3454"/>
      <c r="V35" s="3454"/>
      <c r="W35" s="3455"/>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5" t="str">
        <f t="shared" si="213"/>
        <v/>
      </c>
      <c r="IA35" s="1805" t="str">
        <f t="shared" si="214"/>
        <v/>
      </c>
      <c r="IB35" s="1805" t="str">
        <f t="shared" si="215"/>
        <v/>
      </c>
      <c r="IC35" s="1805" t="str">
        <f t="shared" si="216"/>
        <v/>
      </c>
      <c r="ID35" s="1805" t="str">
        <f t="shared" si="217"/>
        <v/>
      </c>
      <c r="IE35" s="1805" t="str">
        <f t="shared" si="218"/>
        <v/>
      </c>
      <c r="IF35" s="1805" t="str">
        <f t="shared" si="219"/>
        <v/>
      </c>
      <c r="IG35" s="1805" t="str">
        <f t="shared" si="220"/>
        <v/>
      </c>
      <c r="IH35" s="1805" t="str">
        <f t="shared" si="221"/>
        <v/>
      </c>
      <c r="II35" s="1805" t="str">
        <f t="shared" si="222"/>
        <v/>
      </c>
      <c r="IJ35" s="1805" t="str">
        <f t="shared" si="223"/>
        <v/>
      </c>
      <c r="IK35" s="1805" t="str">
        <f t="shared" si="224"/>
        <v/>
      </c>
      <c r="IL35" s="1805" t="str">
        <f t="shared" si="225"/>
        <v/>
      </c>
      <c r="IM35" s="1805" t="str">
        <f t="shared" si="226"/>
        <v/>
      </c>
      <c r="IN35" s="1805" t="str">
        <f t="shared" si="227"/>
        <v/>
      </c>
      <c r="IO35" s="1805" t="str">
        <f t="shared" si="228"/>
        <v/>
      </c>
      <c r="IP35" s="1805" t="str">
        <f t="shared" si="229"/>
        <v/>
      </c>
      <c r="IQ35" s="1805" t="str">
        <f t="shared" si="230"/>
        <v/>
      </c>
      <c r="IR35" s="1805" t="str">
        <f t="shared" si="231"/>
        <v/>
      </c>
      <c r="IS35" s="1805" t="str">
        <f t="shared" si="232"/>
        <v/>
      </c>
      <c r="IT35" s="1805" t="str">
        <f t="shared" si="233"/>
        <v/>
      </c>
      <c r="IU35" s="1805" t="str">
        <f t="shared" si="234"/>
        <v/>
      </c>
      <c r="IV35" s="1805" t="str">
        <f t="shared" si="235"/>
        <v/>
      </c>
      <c r="IW35" s="1805" t="str">
        <f t="shared" si="236"/>
        <v/>
      </c>
      <c r="IX35" s="1805" t="str">
        <f t="shared" si="237"/>
        <v/>
      </c>
      <c r="IY35" s="1805" t="str">
        <f t="shared" si="238"/>
        <v/>
      </c>
      <c r="IZ35" s="1805" t="str">
        <f t="shared" si="239"/>
        <v/>
      </c>
      <c r="JA35" s="1805" t="str">
        <f t="shared" si="240"/>
        <v/>
      </c>
      <c r="JB35" s="1805" t="str">
        <f t="shared" si="241"/>
        <v/>
      </c>
      <c r="JC35" s="1805" t="str">
        <f t="shared" si="242"/>
        <v/>
      </c>
      <c r="JD35" s="1805" t="str">
        <f t="shared" si="243"/>
        <v/>
      </c>
      <c r="JE35" s="1805" t="str">
        <f t="shared" si="244"/>
        <v/>
      </c>
      <c r="JF35" s="1805" t="str">
        <f t="shared" si="245"/>
        <v/>
      </c>
      <c r="JG35" s="1805" t="str">
        <f t="shared" si="246"/>
        <v/>
      </c>
      <c r="JH35" s="1805" t="str">
        <f t="shared" si="247"/>
        <v/>
      </c>
      <c r="JI35" s="1805" t="str">
        <f t="shared" si="248"/>
        <v/>
      </c>
      <c r="JJ35" s="1805" t="str">
        <f t="shared" si="249"/>
        <v/>
      </c>
      <c r="JK35" s="1805" t="str">
        <f t="shared" si="250"/>
        <v/>
      </c>
      <c r="JL35" s="1805" t="str">
        <f t="shared" si="251"/>
        <v/>
      </c>
      <c r="JM35" s="1805" t="str">
        <f t="shared" si="252"/>
        <v/>
      </c>
      <c r="JN35" s="1805" t="str">
        <f t="shared" si="253"/>
        <v/>
      </c>
      <c r="JO35" s="1805" t="str">
        <f t="shared" si="254"/>
        <v/>
      </c>
      <c r="JP35" s="1805" t="str">
        <f t="shared" si="255"/>
        <v/>
      </c>
      <c r="JQ35" s="1805" t="str">
        <f t="shared" si="256"/>
        <v/>
      </c>
      <c r="JR35" s="1805" t="str">
        <f t="shared" si="257"/>
        <v/>
      </c>
      <c r="JS35" s="1805" t="str">
        <f t="shared" si="258"/>
        <v/>
      </c>
      <c r="JT35" s="1805" t="str">
        <f t="shared" si="259"/>
        <v/>
      </c>
      <c r="JU35" s="1805" t="str">
        <f t="shared" si="260"/>
        <v/>
      </c>
      <c r="JV35" s="1805" t="str">
        <f t="shared" si="261"/>
        <v/>
      </c>
      <c r="JW35" s="1805" t="str">
        <f t="shared" si="262"/>
        <v/>
      </c>
      <c r="JX35" s="1805" t="str">
        <f t="shared" si="263"/>
        <v/>
      </c>
      <c r="JY35" s="1805" t="str">
        <f t="shared" si="264"/>
        <v/>
      </c>
      <c r="JZ35" s="1805" t="str">
        <f t="shared" si="265"/>
        <v/>
      </c>
      <c r="KA35" s="1805" t="str">
        <f t="shared" si="266"/>
        <v/>
      </c>
      <c r="KB35" s="1805" t="str">
        <f t="shared" si="267"/>
        <v/>
      </c>
      <c r="KC35" s="1805" t="str">
        <f t="shared" si="268"/>
        <v/>
      </c>
      <c r="KD35" s="1805" t="str">
        <f t="shared" si="269"/>
        <v/>
      </c>
      <c r="KE35" s="1805" t="str">
        <f t="shared" si="270"/>
        <v/>
      </c>
      <c r="KF35" s="1805" t="str">
        <f t="shared" si="271"/>
        <v/>
      </c>
      <c r="KG35" s="1805" t="str">
        <f t="shared" si="272"/>
        <v/>
      </c>
      <c r="KH35" s="1805" t="str">
        <f t="shared" si="273"/>
        <v/>
      </c>
      <c r="KI35" s="1805" t="str">
        <f t="shared" si="274"/>
        <v/>
      </c>
      <c r="KJ35" s="1805" t="str">
        <f t="shared" si="275"/>
        <v/>
      </c>
      <c r="KK35" s="1805" t="str">
        <f t="shared" si="276"/>
        <v/>
      </c>
      <c r="KL35" s="1805" t="str">
        <f t="shared" si="277"/>
        <v/>
      </c>
      <c r="KM35" s="1805" t="str">
        <f t="shared" si="278"/>
        <v/>
      </c>
      <c r="KN35" s="1805" t="str">
        <f t="shared" si="279"/>
        <v/>
      </c>
      <c r="KO35" s="1805" t="str">
        <f t="shared" si="280"/>
        <v/>
      </c>
      <c r="KP35" s="1805" t="str">
        <f t="shared" si="281"/>
        <v/>
      </c>
      <c r="KQ35" s="1805" t="str">
        <f t="shared" si="282"/>
        <v/>
      </c>
      <c r="KR35" s="1805" t="str">
        <f t="shared" si="283"/>
        <v/>
      </c>
      <c r="KS35" s="1805" t="str">
        <f t="shared" si="284"/>
        <v/>
      </c>
      <c r="KT35" s="1805" t="str">
        <f t="shared" si="285"/>
        <v/>
      </c>
      <c r="KU35" s="1805" t="str">
        <f t="shared" si="286"/>
        <v/>
      </c>
      <c r="KV35" s="1805" t="str">
        <f t="shared" si="287"/>
        <v/>
      </c>
      <c r="KW35" s="1805" t="str">
        <f t="shared" si="288"/>
        <v/>
      </c>
      <c r="KX35" s="1805" t="str">
        <f t="shared" si="289"/>
        <v/>
      </c>
      <c r="KY35" s="1805" t="str">
        <f t="shared" si="290"/>
        <v/>
      </c>
      <c r="KZ35" s="1805" t="str">
        <f t="shared" si="291"/>
        <v/>
      </c>
      <c r="LA35" s="1805" t="str">
        <f t="shared" si="292"/>
        <v/>
      </c>
      <c r="LB35" s="1805" t="str">
        <f t="shared" si="293"/>
        <v/>
      </c>
      <c r="LC35" s="1805" t="str">
        <f t="shared" si="294"/>
        <v/>
      </c>
      <c r="LD35" s="1805" t="str">
        <f t="shared" si="295"/>
        <v/>
      </c>
      <c r="LE35" s="1805" t="str">
        <f t="shared" si="296"/>
        <v/>
      </c>
      <c r="LF35" s="1805" t="str">
        <f t="shared" si="297"/>
        <v/>
      </c>
      <c r="LG35" s="1794" t="str">
        <f t="shared" si="298"/>
        <v/>
      </c>
      <c r="LH35" s="1794" t="str">
        <f t="shared" si="299"/>
        <v/>
      </c>
      <c r="LI35" s="1794" t="str">
        <f t="shared" si="300"/>
        <v/>
      </c>
      <c r="LJ35" s="1794" t="str">
        <f t="shared" si="301"/>
        <v/>
      </c>
      <c r="LK35" s="1794"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7">
        <f t="shared" si="323"/>
        <v>0</v>
      </c>
      <c r="MG35" s="1657">
        <f t="shared" si="324"/>
        <v>0</v>
      </c>
      <c r="MH35" s="1657">
        <f t="shared" si="325"/>
        <v>0</v>
      </c>
      <c r="MI35" s="1657">
        <f t="shared" si="326"/>
        <v>0</v>
      </c>
      <c r="MJ35" s="1657">
        <f t="shared" si="327"/>
        <v>0</v>
      </c>
      <c r="MK35" s="1657">
        <f t="shared" si="333"/>
        <v>0</v>
      </c>
      <c r="ML35" s="1657">
        <f t="shared" si="334"/>
        <v>0</v>
      </c>
      <c r="MM35" s="1657">
        <f t="shared" si="335"/>
        <v>0</v>
      </c>
      <c r="MN35" s="1657">
        <f t="shared" si="336"/>
        <v>0</v>
      </c>
      <c r="MO35" s="1657">
        <f t="shared" si="337"/>
        <v>0</v>
      </c>
      <c r="MP35" s="1657">
        <f t="shared" si="328"/>
        <v>0</v>
      </c>
      <c r="MQ35" s="1657">
        <f t="shared" si="329"/>
        <v>0</v>
      </c>
      <c r="MR35" s="1657">
        <f t="shared" si="330"/>
        <v>0</v>
      </c>
      <c r="MS35" s="1657">
        <f t="shared" si="331"/>
        <v>0</v>
      </c>
      <c r="MT35" s="1657">
        <f t="shared" si="332"/>
        <v>0</v>
      </c>
      <c r="NP35" s="1630" t="s">
        <v>4328</v>
      </c>
      <c r="NQ35" s="2480">
        <v>35</v>
      </c>
    </row>
    <row r="36" spans="1:381" ht="13.9" customHeight="1">
      <c r="A36" s="86" t="str">
        <f t="shared" si="0"/>
        <v/>
      </c>
      <c r="B36" s="1060"/>
      <c r="C36" s="132"/>
      <c r="D36" s="1660"/>
      <c r="E36" s="133"/>
      <c r="F36" s="133"/>
      <c r="G36" s="133"/>
      <c r="H36" s="133"/>
      <c r="I36" s="133"/>
      <c r="J36" s="743">
        <f>IF(C36="",0,HLOOKUP(C36,'Part IV-Utility Allowances'!$I$11:$M$22,12))</f>
        <v>0</v>
      </c>
      <c r="K36" s="632"/>
      <c r="L36" s="460">
        <f t="shared" si="1"/>
        <v>0</v>
      </c>
      <c r="M36" s="460">
        <f t="shared" si="2"/>
        <v>0</v>
      </c>
      <c r="N36" s="683"/>
      <c r="O36" s="1594"/>
      <c r="P36" s="683"/>
      <c r="Q36" s="134"/>
      <c r="R36" s="726"/>
      <c r="S36" s="727"/>
      <c r="T36" s="3453"/>
      <c r="U36" s="3454"/>
      <c r="V36" s="3454"/>
      <c r="W36" s="3455"/>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5" t="str">
        <f t="shared" si="213"/>
        <v/>
      </c>
      <c r="IA36" s="1805" t="str">
        <f t="shared" si="214"/>
        <v/>
      </c>
      <c r="IB36" s="1805" t="str">
        <f t="shared" si="215"/>
        <v/>
      </c>
      <c r="IC36" s="1805" t="str">
        <f t="shared" si="216"/>
        <v/>
      </c>
      <c r="ID36" s="1805" t="str">
        <f t="shared" si="217"/>
        <v/>
      </c>
      <c r="IE36" s="1805" t="str">
        <f t="shared" si="218"/>
        <v/>
      </c>
      <c r="IF36" s="1805" t="str">
        <f t="shared" si="219"/>
        <v/>
      </c>
      <c r="IG36" s="1805" t="str">
        <f t="shared" si="220"/>
        <v/>
      </c>
      <c r="IH36" s="1805" t="str">
        <f t="shared" si="221"/>
        <v/>
      </c>
      <c r="II36" s="1805" t="str">
        <f t="shared" si="222"/>
        <v/>
      </c>
      <c r="IJ36" s="1805" t="str">
        <f t="shared" si="223"/>
        <v/>
      </c>
      <c r="IK36" s="1805" t="str">
        <f t="shared" si="224"/>
        <v/>
      </c>
      <c r="IL36" s="1805" t="str">
        <f t="shared" si="225"/>
        <v/>
      </c>
      <c r="IM36" s="1805" t="str">
        <f t="shared" si="226"/>
        <v/>
      </c>
      <c r="IN36" s="1805" t="str">
        <f t="shared" si="227"/>
        <v/>
      </c>
      <c r="IO36" s="1805" t="str">
        <f t="shared" si="228"/>
        <v/>
      </c>
      <c r="IP36" s="1805" t="str">
        <f t="shared" si="229"/>
        <v/>
      </c>
      <c r="IQ36" s="1805" t="str">
        <f t="shared" si="230"/>
        <v/>
      </c>
      <c r="IR36" s="1805" t="str">
        <f t="shared" si="231"/>
        <v/>
      </c>
      <c r="IS36" s="1805" t="str">
        <f t="shared" si="232"/>
        <v/>
      </c>
      <c r="IT36" s="1805" t="str">
        <f t="shared" si="233"/>
        <v/>
      </c>
      <c r="IU36" s="1805" t="str">
        <f t="shared" si="234"/>
        <v/>
      </c>
      <c r="IV36" s="1805" t="str">
        <f t="shared" si="235"/>
        <v/>
      </c>
      <c r="IW36" s="1805" t="str">
        <f t="shared" si="236"/>
        <v/>
      </c>
      <c r="IX36" s="1805" t="str">
        <f t="shared" si="237"/>
        <v/>
      </c>
      <c r="IY36" s="1805" t="str">
        <f t="shared" si="238"/>
        <v/>
      </c>
      <c r="IZ36" s="1805" t="str">
        <f t="shared" si="239"/>
        <v/>
      </c>
      <c r="JA36" s="1805" t="str">
        <f t="shared" si="240"/>
        <v/>
      </c>
      <c r="JB36" s="1805" t="str">
        <f t="shared" si="241"/>
        <v/>
      </c>
      <c r="JC36" s="1805" t="str">
        <f t="shared" si="242"/>
        <v/>
      </c>
      <c r="JD36" s="1805" t="str">
        <f t="shared" si="243"/>
        <v/>
      </c>
      <c r="JE36" s="1805" t="str">
        <f t="shared" si="244"/>
        <v/>
      </c>
      <c r="JF36" s="1805" t="str">
        <f t="shared" si="245"/>
        <v/>
      </c>
      <c r="JG36" s="1805" t="str">
        <f t="shared" si="246"/>
        <v/>
      </c>
      <c r="JH36" s="1805" t="str">
        <f t="shared" si="247"/>
        <v/>
      </c>
      <c r="JI36" s="1805" t="str">
        <f t="shared" si="248"/>
        <v/>
      </c>
      <c r="JJ36" s="1805" t="str">
        <f t="shared" si="249"/>
        <v/>
      </c>
      <c r="JK36" s="1805" t="str">
        <f t="shared" si="250"/>
        <v/>
      </c>
      <c r="JL36" s="1805" t="str">
        <f t="shared" si="251"/>
        <v/>
      </c>
      <c r="JM36" s="1805" t="str">
        <f t="shared" si="252"/>
        <v/>
      </c>
      <c r="JN36" s="1805" t="str">
        <f t="shared" si="253"/>
        <v/>
      </c>
      <c r="JO36" s="1805" t="str">
        <f t="shared" si="254"/>
        <v/>
      </c>
      <c r="JP36" s="1805" t="str">
        <f t="shared" si="255"/>
        <v/>
      </c>
      <c r="JQ36" s="1805" t="str">
        <f t="shared" si="256"/>
        <v/>
      </c>
      <c r="JR36" s="1805" t="str">
        <f t="shared" si="257"/>
        <v/>
      </c>
      <c r="JS36" s="1805" t="str">
        <f t="shared" si="258"/>
        <v/>
      </c>
      <c r="JT36" s="1805" t="str">
        <f t="shared" si="259"/>
        <v/>
      </c>
      <c r="JU36" s="1805" t="str">
        <f t="shared" si="260"/>
        <v/>
      </c>
      <c r="JV36" s="1805" t="str">
        <f t="shared" si="261"/>
        <v/>
      </c>
      <c r="JW36" s="1805" t="str">
        <f t="shared" si="262"/>
        <v/>
      </c>
      <c r="JX36" s="1805" t="str">
        <f t="shared" si="263"/>
        <v/>
      </c>
      <c r="JY36" s="1805" t="str">
        <f t="shared" si="264"/>
        <v/>
      </c>
      <c r="JZ36" s="1805" t="str">
        <f t="shared" si="265"/>
        <v/>
      </c>
      <c r="KA36" s="1805" t="str">
        <f t="shared" si="266"/>
        <v/>
      </c>
      <c r="KB36" s="1805" t="str">
        <f t="shared" si="267"/>
        <v/>
      </c>
      <c r="KC36" s="1805" t="str">
        <f t="shared" si="268"/>
        <v/>
      </c>
      <c r="KD36" s="1805" t="str">
        <f t="shared" si="269"/>
        <v/>
      </c>
      <c r="KE36" s="1805" t="str">
        <f t="shared" si="270"/>
        <v/>
      </c>
      <c r="KF36" s="1805" t="str">
        <f t="shared" si="271"/>
        <v/>
      </c>
      <c r="KG36" s="1805" t="str">
        <f t="shared" si="272"/>
        <v/>
      </c>
      <c r="KH36" s="1805" t="str">
        <f t="shared" si="273"/>
        <v/>
      </c>
      <c r="KI36" s="1805" t="str">
        <f t="shared" si="274"/>
        <v/>
      </c>
      <c r="KJ36" s="1805" t="str">
        <f t="shared" si="275"/>
        <v/>
      </c>
      <c r="KK36" s="1805" t="str">
        <f t="shared" si="276"/>
        <v/>
      </c>
      <c r="KL36" s="1805" t="str">
        <f t="shared" si="277"/>
        <v/>
      </c>
      <c r="KM36" s="1805" t="str">
        <f t="shared" si="278"/>
        <v/>
      </c>
      <c r="KN36" s="1805" t="str">
        <f t="shared" si="279"/>
        <v/>
      </c>
      <c r="KO36" s="1805" t="str">
        <f t="shared" si="280"/>
        <v/>
      </c>
      <c r="KP36" s="1805" t="str">
        <f t="shared" si="281"/>
        <v/>
      </c>
      <c r="KQ36" s="1805" t="str">
        <f t="shared" si="282"/>
        <v/>
      </c>
      <c r="KR36" s="1805" t="str">
        <f t="shared" si="283"/>
        <v/>
      </c>
      <c r="KS36" s="1805" t="str">
        <f t="shared" si="284"/>
        <v/>
      </c>
      <c r="KT36" s="1805" t="str">
        <f t="shared" si="285"/>
        <v/>
      </c>
      <c r="KU36" s="1805" t="str">
        <f t="shared" si="286"/>
        <v/>
      </c>
      <c r="KV36" s="1805" t="str">
        <f t="shared" si="287"/>
        <v/>
      </c>
      <c r="KW36" s="1805" t="str">
        <f t="shared" si="288"/>
        <v/>
      </c>
      <c r="KX36" s="1805" t="str">
        <f t="shared" si="289"/>
        <v/>
      </c>
      <c r="KY36" s="1805" t="str">
        <f t="shared" si="290"/>
        <v/>
      </c>
      <c r="KZ36" s="1805" t="str">
        <f t="shared" si="291"/>
        <v/>
      </c>
      <c r="LA36" s="1805" t="str">
        <f t="shared" si="292"/>
        <v/>
      </c>
      <c r="LB36" s="1805" t="str">
        <f t="shared" si="293"/>
        <v/>
      </c>
      <c r="LC36" s="1805" t="str">
        <f t="shared" si="294"/>
        <v/>
      </c>
      <c r="LD36" s="1805" t="str">
        <f t="shared" si="295"/>
        <v/>
      </c>
      <c r="LE36" s="1805" t="str">
        <f t="shared" si="296"/>
        <v/>
      </c>
      <c r="LF36" s="1805" t="str">
        <f t="shared" si="297"/>
        <v/>
      </c>
      <c r="LG36" s="1794" t="str">
        <f t="shared" si="298"/>
        <v/>
      </c>
      <c r="LH36" s="1794" t="str">
        <f t="shared" si="299"/>
        <v/>
      </c>
      <c r="LI36" s="1794" t="str">
        <f t="shared" si="300"/>
        <v/>
      </c>
      <c r="LJ36" s="1794" t="str">
        <f t="shared" si="301"/>
        <v/>
      </c>
      <c r="LK36" s="1794"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7">
        <f t="shared" si="323"/>
        <v>0</v>
      </c>
      <c r="MG36" s="1657">
        <f t="shared" si="324"/>
        <v>0</v>
      </c>
      <c r="MH36" s="1657">
        <f t="shared" si="325"/>
        <v>0</v>
      </c>
      <c r="MI36" s="1657">
        <f t="shared" si="326"/>
        <v>0</v>
      </c>
      <c r="MJ36" s="1657">
        <f t="shared" si="327"/>
        <v>0</v>
      </c>
      <c r="MK36" s="1657">
        <f t="shared" si="333"/>
        <v>0</v>
      </c>
      <c r="ML36" s="1657">
        <f t="shared" si="334"/>
        <v>0</v>
      </c>
      <c r="MM36" s="1657">
        <f t="shared" si="335"/>
        <v>0</v>
      </c>
      <c r="MN36" s="1657">
        <f t="shared" si="336"/>
        <v>0</v>
      </c>
      <c r="MO36" s="1657">
        <f t="shared" si="337"/>
        <v>0</v>
      </c>
      <c r="MP36" s="1657">
        <f t="shared" si="328"/>
        <v>0</v>
      </c>
      <c r="MQ36" s="1657">
        <f t="shared" si="329"/>
        <v>0</v>
      </c>
      <c r="MR36" s="1657">
        <f t="shared" si="330"/>
        <v>0</v>
      </c>
      <c r="MS36" s="1657">
        <f t="shared" si="331"/>
        <v>0</v>
      </c>
      <c r="MT36" s="1657">
        <f t="shared" si="332"/>
        <v>0</v>
      </c>
      <c r="NP36" s="1630" t="s">
        <v>4329</v>
      </c>
      <c r="NQ36" s="2478">
        <v>36</v>
      </c>
    </row>
    <row r="37" spans="1:381" ht="13.9" customHeight="1">
      <c r="A37" s="86" t="str">
        <f t="shared" si="0"/>
        <v/>
      </c>
      <c r="B37" s="1060"/>
      <c r="C37" s="132"/>
      <c r="D37" s="1660"/>
      <c r="E37" s="133"/>
      <c r="F37" s="133"/>
      <c r="G37" s="133"/>
      <c r="H37" s="133"/>
      <c r="I37" s="133"/>
      <c r="J37" s="743">
        <f>IF(C37="",0,HLOOKUP(C37,'Part IV-Utility Allowances'!$I$11:$M$22,12))</f>
        <v>0</v>
      </c>
      <c r="K37" s="632"/>
      <c r="L37" s="460">
        <f t="shared" si="1"/>
        <v>0</v>
      </c>
      <c r="M37" s="460">
        <f t="shared" si="2"/>
        <v>0</v>
      </c>
      <c r="N37" s="683"/>
      <c r="O37" s="1594"/>
      <c r="P37" s="683"/>
      <c r="Q37" s="134"/>
      <c r="R37" s="726"/>
      <c r="S37" s="727"/>
      <c r="T37" s="3453"/>
      <c r="U37" s="3454"/>
      <c r="V37" s="3454"/>
      <c r="W37" s="3455"/>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5" t="str">
        <f t="shared" si="213"/>
        <v/>
      </c>
      <c r="IA37" s="1805" t="str">
        <f t="shared" si="214"/>
        <v/>
      </c>
      <c r="IB37" s="1805" t="str">
        <f t="shared" si="215"/>
        <v/>
      </c>
      <c r="IC37" s="1805" t="str">
        <f t="shared" si="216"/>
        <v/>
      </c>
      <c r="ID37" s="1805" t="str">
        <f t="shared" si="217"/>
        <v/>
      </c>
      <c r="IE37" s="1805" t="str">
        <f t="shared" si="218"/>
        <v/>
      </c>
      <c r="IF37" s="1805" t="str">
        <f t="shared" si="219"/>
        <v/>
      </c>
      <c r="IG37" s="1805" t="str">
        <f t="shared" si="220"/>
        <v/>
      </c>
      <c r="IH37" s="1805" t="str">
        <f t="shared" si="221"/>
        <v/>
      </c>
      <c r="II37" s="1805" t="str">
        <f t="shared" si="222"/>
        <v/>
      </c>
      <c r="IJ37" s="1805" t="str">
        <f t="shared" si="223"/>
        <v/>
      </c>
      <c r="IK37" s="1805" t="str">
        <f t="shared" si="224"/>
        <v/>
      </c>
      <c r="IL37" s="1805" t="str">
        <f t="shared" si="225"/>
        <v/>
      </c>
      <c r="IM37" s="1805" t="str">
        <f t="shared" si="226"/>
        <v/>
      </c>
      <c r="IN37" s="1805" t="str">
        <f t="shared" si="227"/>
        <v/>
      </c>
      <c r="IO37" s="1805" t="str">
        <f t="shared" si="228"/>
        <v/>
      </c>
      <c r="IP37" s="1805" t="str">
        <f t="shared" si="229"/>
        <v/>
      </c>
      <c r="IQ37" s="1805" t="str">
        <f t="shared" si="230"/>
        <v/>
      </c>
      <c r="IR37" s="1805" t="str">
        <f t="shared" si="231"/>
        <v/>
      </c>
      <c r="IS37" s="1805" t="str">
        <f t="shared" si="232"/>
        <v/>
      </c>
      <c r="IT37" s="1805" t="str">
        <f t="shared" si="233"/>
        <v/>
      </c>
      <c r="IU37" s="1805" t="str">
        <f t="shared" si="234"/>
        <v/>
      </c>
      <c r="IV37" s="1805" t="str">
        <f t="shared" si="235"/>
        <v/>
      </c>
      <c r="IW37" s="1805" t="str">
        <f t="shared" si="236"/>
        <v/>
      </c>
      <c r="IX37" s="1805" t="str">
        <f t="shared" si="237"/>
        <v/>
      </c>
      <c r="IY37" s="1805" t="str">
        <f t="shared" si="238"/>
        <v/>
      </c>
      <c r="IZ37" s="1805" t="str">
        <f t="shared" si="239"/>
        <v/>
      </c>
      <c r="JA37" s="1805" t="str">
        <f t="shared" si="240"/>
        <v/>
      </c>
      <c r="JB37" s="1805" t="str">
        <f t="shared" si="241"/>
        <v/>
      </c>
      <c r="JC37" s="1805" t="str">
        <f t="shared" si="242"/>
        <v/>
      </c>
      <c r="JD37" s="1805" t="str">
        <f t="shared" si="243"/>
        <v/>
      </c>
      <c r="JE37" s="1805" t="str">
        <f t="shared" si="244"/>
        <v/>
      </c>
      <c r="JF37" s="1805" t="str">
        <f t="shared" si="245"/>
        <v/>
      </c>
      <c r="JG37" s="1805" t="str">
        <f t="shared" si="246"/>
        <v/>
      </c>
      <c r="JH37" s="1805" t="str">
        <f t="shared" si="247"/>
        <v/>
      </c>
      <c r="JI37" s="1805" t="str">
        <f t="shared" si="248"/>
        <v/>
      </c>
      <c r="JJ37" s="1805" t="str">
        <f t="shared" si="249"/>
        <v/>
      </c>
      <c r="JK37" s="1805" t="str">
        <f t="shared" si="250"/>
        <v/>
      </c>
      <c r="JL37" s="1805" t="str">
        <f t="shared" si="251"/>
        <v/>
      </c>
      <c r="JM37" s="1805" t="str">
        <f t="shared" si="252"/>
        <v/>
      </c>
      <c r="JN37" s="1805" t="str">
        <f t="shared" si="253"/>
        <v/>
      </c>
      <c r="JO37" s="1805" t="str">
        <f t="shared" si="254"/>
        <v/>
      </c>
      <c r="JP37" s="1805" t="str">
        <f t="shared" si="255"/>
        <v/>
      </c>
      <c r="JQ37" s="1805" t="str">
        <f t="shared" si="256"/>
        <v/>
      </c>
      <c r="JR37" s="1805" t="str">
        <f t="shared" si="257"/>
        <v/>
      </c>
      <c r="JS37" s="1805" t="str">
        <f t="shared" si="258"/>
        <v/>
      </c>
      <c r="JT37" s="1805" t="str">
        <f t="shared" si="259"/>
        <v/>
      </c>
      <c r="JU37" s="1805" t="str">
        <f t="shared" si="260"/>
        <v/>
      </c>
      <c r="JV37" s="1805" t="str">
        <f t="shared" si="261"/>
        <v/>
      </c>
      <c r="JW37" s="1805" t="str">
        <f t="shared" si="262"/>
        <v/>
      </c>
      <c r="JX37" s="1805" t="str">
        <f t="shared" si="263"/>
        <v/>
      </c>
      <c r="JY37" s="1805" t="str">
        <f t="shared" si="264"/>
        <v/>
      </c>
      <c r="JZ37" s="1805" t="str">
        <f t="shared" si="265"/>
        <v/>
      </c>
      <c r="KA37" s="1805" t="str">
        <f t="shared" si="266"/>
        <v/>
      </c>
      <c r="KB37" s="1805" t="str">
        <f t="shared" si="267"/>
        <v/>
      </c>
      <c r="KC37" s="1805" t="str">
        <f t="shared" si="268"/>
        <v/>
      </c>
      <c r="KD37" s="1805" t="str">
        <f t="shared" si="269"/>
        <v/>
      </c>
      <c r="KE37" s="1805" t="str">
        <f t="shared" si="270"/>
        <v/>
      </c>
      <c r="KF37" s="1805" t="str">
        <f t="shared" si="271"/>
        <v/>
      </c>
      <c r="KG37" s="1805" t="str">
        <f t="shared" si="272"/>
        <v/>
      </c>
      <c r="KH37" s="1805" t="str">
        <f t="shared" si="273"/>
        <v/>
      </c>
      <c r="KI37" s="1805" t="str">
        <f t="shared" si="274"/>
        <v/>
      </c>
      <c r="KJ37" s="1805" t="str">
        <f t="shared" si="275"/>
        <v/>
      </c>
      <c r="KK37" s="1805" t="str">
        <f t="shared" si="276"/>
        <v/>
      </c>
      <c r="KL37" s="1805" t="str">
        <f t="shared" si="277"/>
        <v/>
      </c>
      <c r="KM37" s="1805" t="str">
        <f t="shared" si="278"/>
        <v/>
      </c>
      <c r="KN37" s="1805" t="str">
        <f t="shared" si="279"/>
        <v/>
      </c>
      <c r="KO37" s="1805" t="str">
        <f t="shared" si="280"/>
        <v/>
      </c>
      <c r="KP37" s="1805" t="str">
        <f t="shared" si="281"/>
        <v/>
      </c>
      <c r="KQ37" s="1805" t="str">
        <f t="shared" si="282"/>
        <v/>
      </c>
      <c r="KR37" s="1805" t="str">
        <f t="shared" si="283"/>
        <v/>
      </c>
      <c r="KS37" s="1805" t="str">
        <f t="shared" si="284"/>
        <v/>
      </c>
      <c r="KT37" s="1805" t="str">
        <f t="shared" si="285"/>
        <v/>
      </c>
      <c r="KU37" s="1805" t="str">
        <f t="shared" si="286"/>
        <v/>
      </c>
      <c r="KV37" s="1805" t="str">
        <f t="shared" si="287"/>
        <v/>
      </c>
      <c r="KW37" s="1805" t="str">
        <f t="shared" si="288"/>
        <v/>
      </c>
      <c r="KX37" s="1805" t="str">
        <f t="shared" si="289"/>
        <v/>
      </c>
      <c r="KY37" s="1805" t="str">
        <f t="shared" si="290"/>
        <v/>
      </c>
      <c r="KZ37" s="1805" t="str">
        <f t="shared" si="291"/>
        <v/>
      </c>
      <c r="LA37" s="1805" t="str">
        <f t="shared" si="292"/>
        <v/>
      </c>
      <c r="LB37" s="1805" t="str">
        <f t="shared" si="293"/>
        <v/>
      </c>
      <c r="LC37" s="1805" t="str">
        <f t="shared" si="294"/>
        <v/>
      </c>
      <c r="LD37" s="1805" t="str">
        <f t="shared" si="295"/>
        <v/>
      </c>
      <c r="LE37" s="1805" t="str">
        <f t="shared" si="296"/>
        <v/>
      </c>
      <c r="LF37" s="1805" t="str">
        <f t="shared" si="297"/>
        <v/>
      </c>
      <c r="LG37" s="1794" t="str">
        <f t="shared" si="298"/>
        <v/>
      </c>
      <c r="LH37" s="1794" t="str">
        <f t="shared" si="299"/>
        <v/>
      </c>
      <c r="LI37" s="1794" t="str">
        <f t="shared" si="300"/>
        <v/>
      </c>
      <c r="LJ37" s="1794" t="str">
        <f t="shared" si="301"/>
        <v/>
      </c>
      <c r="LK37" s="1794"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7">
        <f t="shared" si="323"/>
        <v>0</v>
      </c>
      <c r="MG37" s="1657">
        <f t="shared" si="324"/>
        <v>0</v>
      </c>
      <c r="MH37" s="1657">
        <f t="shared" si="325"/>
        <v>0</v>
      </c>
      <c r="MI37" s="1657">
        <f t="shared" si="326"/>
        <v>0</v>
      </c>
      <c r="MJ37" s="1657">
        <f t="shared" si="327"/>
        <v>0</v>
      </c>
      <c r="MK37" s="1657">
        <f t="shared" si="333"/>
        <v>0</v>
      </c>
      <c r="ML37" s="1657">
        <f t="shared" si="334"/>
        <v>0</v>
      </c>
      <c r="MM37" s="1657">
        <f t="shared" si="335"/>
        <v>0</v>
      </c>
      <c r="MN37" s="1657">
        <f t="shared" si="336"/>
        <v>0</v>
      </c>
      <c r="MO37" s="1657">
        <f t="shared" si="337"/>
        <v>0</v>
      </c>
      <c r="MP37" s="1657">
        <f t="shared" si="328"/>
        <v>0</v>
      </c>
      <c r="MQ37" s="1657">
        <f t="shared" si="329"/>
        <v>0</v>
      </c>
      <c r="MR37" s="1657">
        <f t="shared" si="330"/>
        <v>0</v>
      </c>
      <c r="MS37" s="1657">
        <f t="shared" si="331"/>
        <v>0</v>
      </c>
      <c r="MT37" s="1657">
        <f t="shared" si="332"/>
        <v>0</v>
      </c>
      <c r="NP37" s="1630" t="s">
        <v>4330</v>
      </c>
      <c r="NQ37" s="2480">
        <v>37</v>
      </c>
    </row>
    <row r="38" spans="1:381" ht="13.9" customHeight="1">
      <c r="A38" s="86" t="str">
        <f t="shared" si="0"/>
        <v/>
      </c>
      <c r="B38" s="1060"/>
      <c r="C38" s="132"/>
      <c r="D38" s="1660"/>
      <c r="E38" s="133"/>
      <c r="F38" s="133"/>
      <c r="G38" s="133"/>
      <c r="H38" s="133"/>
      <c r="I38" s="133"/>
      <c r="J38" s="743">
        <f>IF(C38="",0,HLOOKUP(C38,'Part IV-Utility Allowances'!$I$11:$M$22,12))</f>
        <v>0</v>
      </c>
      <c r="K38" s="632"/>
      <c r="L38" s="460">
        <f t="shared" si="1"/>
        <v>0</v>
      </c>
      <c r="M38" s="460">
        <f t="shared" si="2"/>
        <v>0</v>
      </c>
      <c r="N38" s="683"/>
      <c r="O38" s="1594"/>
      <c r="P38" s="683"/>
      <c r="Q38" s="134"/>
      <c r="R38" s="726"/>
      <c r="S38" s="727"/>
      <c r="T38" s="3453"/>
      <c r="U38" s="3454"/>
      <c r="V38" s="3454"/>
      <c r="W38" s="3455"/>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5" t="str">
        <f t="shared" si="213"/>
        <v/>
      </c>
      <c r="IA38" s="1805" t="str">
        <f t="shared" si="214"/>
        <v/>
      </c>
      <c r="IB38" s="1805" t="str">
        <f t="shared" si="215"/>
        <v/>
      </c>
      <c r="IC38" s="1805" t="str">
        <f t="shared" si="216"/>
        <v/>
      </c>
      <c r="ID38" s="1805" t="str">
        <f t="shared" si="217"/>
        <v/>
      </c>
      <c r="IE38" s="1805" t="str">
        <f t="shared" si="218"/>
        <v/>
      </c>
      <c r="IF38" s="1805" t="str">
        <f t="shared" si="219"/>
        <v/>
      </c>
      <c r="IG38" s="1805" t="str">
        <f t="shared" si="220"/>
        <v/>
      </c>
      <c r="IH38" s="1805" t="str">
        <f t="shared" si="221"/>
        <v/>
      </c>
      <c r="II38" s="1805" t="str">
        <f t="shared" si="222"/>
        <v/>
      </c>
      <c r="IJ38" s="1805" t="str">
        <f t="shared" si="223"/>
        <v/>
      </c>
      <c r="IK38" s="1805" t="str">
        <f t="shared" si="224"/>
        <v/>
      </c>
      <c r="IL38" s="1805" t="str">
        <f t="shared" si="225"/>
        <v/>
      </c>
      <c r="IM38" s="1805" t="str">
        <f t="shared" si="226"/>
        <v/>
      </c>
      <c r="IN38" s="1805" t="str">
        <f t="shared" si="227"/>
        <v/>
      </c>
      <c r="IO38" s="1805" t="str">
        <f t="shared" si="228"/>
        <v/>
      </c>
      <c r="IP38" s="1805" t="str">
        <f t="shared" si="229"/>
        <v/>
      </c>
      <c r="IQ38" s="1805" t="str">
        <f t="shared" si="230"/>
        <v/>
      </c>
      <c r="IR38" s="1805" t="str">
        <f t="shared" si="231"/>
        <v/>
      </c>
      <c r="IS38" s="1805" t="str">
        <f t="shared" si="232"/>
        <v/>
      </c>
      <c r="IT38" s="1805" t="str">
        <f t="shared" si="233"/>
        <v/>
      </c>
      <c r="IU38" s="1805" t="str">
        <f t="shared" si="234"/>
        <v/>
      </c>
      <c r="IV38" s="1805" t="str">
        <f t="shared" si="235"/>
        <v/>
      </c>
      <c r="IW38" s="1805" t="str">
        <f t="shared" si="236"/>
        <v/>
      </c>
      <c r="IX38" s="1805" t="str">
        <f t="shared" si="237"/>
        <v/>
      </c>
      <c r="IY38" s="1805" t="str">
        <f t="shared" si="238"/>
        <v/>
      </c>
      <c r="IZ38" s="1805" t="str">
        <f t="shared" si="239"/>
        <v/>
      </c>
      <c r="JA38" s="1805" t="str">
        <f t="shared" si="240"/>
        <v/>
      </c>
      <c r="JB38" s="1805" t="str">
        <f t="shared" si="241"/>
        <v/>
      </c>
      <c r="JC38" s="1805" t="str">
        <f t="shared" si="242"/>
        <v/>
      </c>
      <c r="JD38" s="1805" t="str">
        <f t="shared" si="243"/>
        <v/>
      </c>
      <c r="JE38" s="1805" t="str">
        <f t="shared" si="244"/>
        <v/>
      </c>
      <c r="JF38" s="1805" t="str">
        <f t="shared" si="245"/>
        <v/>
      </c>
      <c r="JG38" s="1805" t="str">
        <f t="shared" si="246"/>
        <v/>
      </c>
      <c r="JH38" s="1805" t="str">
        <f t="shared" si="247"/>
        <v/>
      </c>
      <c r="JI38" s="1805" t="str">
        <f t="shared" si="248"/>
        <v/>
      </c>
      <c r="JJ38" s="1805" t="str">
        <f t="shared" si="249"/>
        <v/>
      </c>
      <c r="JK38" s="1805" t="str">
        <f t="shared" si="250"/>
        <v/>
      </c>
      <c r="JL38" s="1805" t="str">
        <f t="shared" si="251"/>
        <v/>
      </c>
      <c r="JM38" s="1805" t="str">
        <f t="shared" si="252"/>
        <v/>
      </c>
      <c r="JN38" s="1805" t="str">
        <f t="shared" si="253"/>
        <v/>
      </c>
      <c r="JO38" s="1805" t="str">
        <f t="shared" si="254"/>
        <v/>
      </c>
      <c r="JP38" s="1805" t="str">
        <f t="shared" si="255"/>
        <v/>
      </c>
      <c r="JQ38" s="1805" t="str">
        <f t="shared" si="256"/>
        <v/>
      </c>
      <c r="JR38" s="1805" t="str">
        <f t="shared" si="257"/>
        <v/>
      </c>
      <c r="JS38" s="1805" t="str">
        <f t="shared" si="258"/>
        <v/>
      </c>
      <c r="JT38" s="1805" t="str">
        <f t="shared" si="259"/>
        <v/>
      </c>
      <c r="JU38" s="1805" t="str">
        <f t="shared" si="260"/>
        <v/>
      </c>
      <c r="JV38" s="1805" t="str">
        <f t="shared" si="261"/>
        <v/>
      </c>
      <c r="JW38" s="1805" t="str">
        <f t="shared" si="262"/>
        <v/>
      </c>
      <c r="JX38" s="1805" t="str">
        <f t="shared" si="263"/>
        <v/>
      </c>
      <c r="JY38" s="1805" t="str">
        <f t="shared" si="264"/>
        <v/>
      </c>
      <c r="JZ38" s="1805" t="str">
        <f t="shared" si="265"/>
        <v/>
      </c>
      <c r="KA38" s="1805" t="str">
        <f t="shared" si="266"/>
        <v/>
      </c>
      <c r="KB38" s="1805" t="str">
        <f t="shared" si="267"/>
        <v/>
      </c>
      <c r="KC38" s="1805" t="str">
        <f t="shared" si="268"/>
        <v/>
      </c>
      <c r="KD38" s="1805" t="str">
        <f t="shared" si="269"/>
        <v/>
      </c>
      <c r="KE38" s="1805" t="str">
        <f t="shared" si="270"/>
        <v/>
      </c>
      <c r="KF38" s="1805" t="str">
        <f t="shared" si="271"/>
        <v/>
      </c>
      <c r="KG38" s="1805" t="str">
        <f t="shared" si="272"/>
        <v/>
      </c>
      <c r="KH38" s="1805" t="str">
        <f t="shared" si="273"/>
        <v/>
      </c>
      <c r="KI38" s="1805" t="str">
        <f t="shared" si="274"/>
        <v/>
      </c>
      <c r="KJ38" s="1805" t="str">
        <f t="shared" si="275"/>
        <v/>
      </c>
      <c r="KK38" s="1805" t="str">
        <f t="shared" si="276"/>
        <v/>
      </c>
      <c r="KL38" s="1805" t="str">
        <f t="shared" si="277"/>
        <v/>
      </c>
      <c r="KM38" s="1805" t="str">
        <f t="shared" si="278"/>
        <v/>
      </c>
      <c r="KN38" s="1805" t="str">
        <f t="shared" si="279"/>
        <v/>
      </c>
      <c r="KO38" s="1805" t="str">
        <f t="shared" si="280"/>
        <v/>
      </c>
      <c r="KP38" s="1805" t="str">
        <f t="shared" si="281"/>
        <v/>
      </c>
      <c r="KQ38" s="1805" t="str">
        <f t="shared" si="282"/>
        <v/>
      </c>
      <c r="KR38" s="1805" t="str">
        <f t="shared" si="283"/>
        <v/>
      </c>
      <c r="KS38" s="1805" t="str">
        <f t="shared" si="284"/>
        <v/>
      </c>
      <c r="KT38" s="1805" t="str">
        <f t="shared" si="285"/>
        <v/>
      </c>
      <c r="KU38" s="1805" t="str">
        <f t="shared" si="286"/>
        <v/>
      </c>
      <c r="KV38" s="1805" t="str">
        <f t="shared" si="287"/>
        <v/>
      </c>
      <c r="KW38" s="1805" t="str">
        <f t="shared" si="288"/>
        <v/>
      </c>
      <c r="KX38" s="1805" t="str">
        <f t="shared" si="289"/>
        <v/>
      </c>
      <c r="KY38" s="1805" t="str">
        <f t="shared" si="290"/>
        <v/>
      </c>
      <c r="KZ38" s="1805" t="str">
        <f t="shared" si="291"/>
        <v/>
      </c>
      <c r="LA38" s="1805" t="str">
        <f t="shared" si="292"/>
        <v/>
      </c>
      <c r="LB38" s="1805" t="str">
        <f t="shared" si="293"/>
        <v/>
      </c>
      <c r="LC38" s="1805" t="str">
        <f t="shared" si="294"/>
        <v/>
      </c>
      <c r="LD38" s="1805" t="str">
        <f t="shared" si="295"/>
        <v/>
      </c>
      <c r="LE38" s="1805" t="str">
        <f t="shared" si="296"/>
        <v/>
      </c>
      <c r="LF38" s="1805" t="str">
        <f t="shared" si="297"/>
        <v/>
      </c>
      <c r="LG38" s="1794" t="str">
        <f t="shared" si="298"/>
        <v/>
      </c>
      <c r="LH38" s="1794" t="str">
        <f t="shared" si="299"/>
        <v/>
      </c>
      <c r="LI38" s="1794" t="str">
        <f t="shared" si="300"/>
        <v/>
      </c>
      <c r="LJ38" s="1794" t="str">
        <f t="shared" si="301"/>
        <v/>
      </c>
      <c r="LK38" s="1794"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7">
        <f t="shared" si="323"/>
        <v>0</v>
      </c>
      <c r="MG38" s="1657">
        <f t="shared" si="324"/>
        <v>0</v>
      </c>
      <c r="MH38" s="1657">
        <f t="shared" si="325"/>
        <v>0</v>
      </c>
      <c r="MI38" s="1657">
        <f t="shared" si="326"/>
        <v>0</v>
      </c>
      <c r="MJ38" s="1657">
        <f t="shared" si="327"/>
        <v>0</v>
      </c>
      <c r="MK38" s="1657">
        <f t="shared" si="333"/>
        <v>0</v>
      </c>
      <c r="ML38" s="1657">
        <f t="shared" si="334"/>
        <v>0</v>
      </c>
      <c r="MM38" s="1657">
        <f t="shared" si="335"/>
        <v>0</v>
      </c>
      <c r="MN38" s="1657">
        <f t="shared" si="336"/>
        <v>0</v>
      </c>
      <c r="MO38" s="1657">
        <f t="shared" si="337"/>
        <v>0</v>
      </c>
      <c r="MP38" s="1657">
        <f t="shared" si="328"/>
        <v>0</v>
      </c>
      <c r="MQ38" s="1657">
        <f t="shared" si="329"/>
        <v>0</v>
      </c>
      <c r="MR38" s="1657">
        <f t="shared" si="330"/>
        <v>0</v>
      </c>
      <c r="MS38" s="1657">
        <f t="shared" si="331"/>
        <v>0</v>
      </c>
      <c r="MT38" s="1657">
        <f t="shared" si="332"/>
        <v>0</v>
      </c>
      <c r="NP38" s="1630" t="s">
        <v>4331</v>
      </c>
      <c r="NQ38" s="2480">
        <v>38</v>
      </c>
    </row>
    <row r="39" spans="1:381" ht="13.9" customHeight="1">
      <c r="A39" s="86" t="str">
        <f t="shared" si="0"/>
        <v/>
      </c>
      <c r="B39" s="1060"/>
      <c r="C39" s="132"/>
      <c r="D39" s="1660"/>
      <c r="E39" s="133"/>
      <c r="F39" s="133"/>
      <c r="G39" s="133"/>
      <c r="H39" s="133"/>
      <c r="I39" s="133"/>
      <c r="J39" s="743">
        <f>IF(C39="",0,HLOOKUP(C39,'Part IV-Utility Allowances'!$I$11:$M$22,12))</f>
        <v>0</v>
      </c>
      <c r="K39" s="632"/>
      <c r="L39" s="460">
        <f t="shared" si="1"/>
        <v>0</v>
      </c>
      <c r="M39" s="460">
        <f t="shared" si="2"/>
        <v>0</v>
      </c>
      <c r="N39" s="683"/>
      <c r="O39" s="1594"/>
      <c r="P39" s="683"/>
      <c r="Q39" s="134"/>
      <c r="R39" s="726"/>
      <c r="S39" s="727"/>
      <c r="T39" s="3453"/>
      <c r="U39" s="3454"/>
      <c r="V39" s="3454"/>
      <c r="W39" s="3455"/>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5" t="str">
        <f t="shared" si="213"/>
        <v/>
      </c>
      <c r="IA39" s="1805" t="str">
        <f t="shared" si="214"/>
        <v/>
      </c>
      <c r="IB39" s="1805" t="str">
        <f t="shared" si="215"/>
        <v/>
      </c>
      <c r="IC39" s="1805" t="str">
        <f t="shared" si="216"/>
        <v/>
      </c>
      <c r="ID39" s="1805" t="str">
        <f t="shared" si="217"/>
        <v/>
      </c>
      <c r="IE39" s="1805" t="str">
        <f t="shared" si="218"/>
        <v/>
      </c>
      <c r="IF39" s="1805" t="str">
        <f t="shared" si="219"/>
        <v/>
      </c>
      <c r="IG39" s="1805" t="str">
        <f t="shared" si="220"/>
        <v/>
      </c>
      <c r="IH39" s="1805" t="str">
        <f t="shared" si="221"/>
        <v/>
      </c>
      <c r="II39" s="1805" t="str">
        <f t="shared" si="222"/>
        <v/>
      </c>
      <c r="IJ39" s="1805" t="str">
        <f t="shared" si="223"/>
        <v/>
      </c>
      <c r="IK39" s="1805" t="str">
        <f t="shared" si="224"/>
        <v/>
      </c>
      <c r="IL39" s="1805" t="str">
        <f t="shared" si="225"/>
        <v/>
      </c>
      <c r="IM39" s="1805" t="str">
        <f t="shared" si="226"/>
        <v/>
      </c>
      <c r="IN39" s="1805" t="str">
        <f t="shared" si="227"/>
        <v/>
      </c>
      <c r="IO39" s="1805" t="str">
        <f t="shared" si="228"/>
        <v/>
      </c>
      <c r="IP39" s="1805" t="str">
        <f t="shared" si="229"/>
        <v/>
      </c>
      <c r="IQ39" s="1805" t="str">
        <f t="shared" si="230"/>
        <v/>
      </c>
      <c r="IR39" s="1805" t="str">
        <f t="shared" si="231"/>
        <v/>
      </c>
      <c r="IS39" s="1805" t="str">
        <f t="shared" si="232"/>
        <v/>
      </c>
      <c r="IT39" s="1805" t="str">
        <f t="shared" si="233"/>
        <v/>
      </c>
      <c r="IU39" s="1805" t="str">
        <f t="shared" si="234"/>
        <v/>
      </c>
      <c r="IV39" s="1805" t="str">
        <f t="shared" si="235"/>
        <v/>
      </c>
      <c r="IW39" s="1805" t="str">
        <f t="shared" si="236"/>
        <v/>
      </c>
      <c r="IX39" s="1805" t="str">
        <f t="shared" si="237"/>
        <v/>
      </c>
      <c r="IY39" s="1805" t="str">
        <f t="shared" si="238"/>
        <v/>
      </c>
      <c r="IZ39" s="1805" t="str">
        <f t="shared" si="239"/>
        <v/>
      </c>
      <c r="JA39" s="1805" t="str">
        <f t="shared" si="240"/>
        <v/>
      </c>
      <c r="JB39" s="1805" t="str">
        <f t="shared" si="241"/>
        <v/>
      </c>
      <c r="JC39" s="1805" t="str">
        <f t="shared" si="242"/>
        <v/>
      </c>
      <c r="JD39" s="1805" t="str">
        <f t="shared" si="243"/>
        <v/>
      </c>
      <c r="JE39" s="1805" t="str">
        <f t="shared" si="244"/>
        <v/>
      </c>
      <c r="JF39" s="1805" t="str">
        <f t="shared" si="245"/>
        <v/>
      </c>
      <c r="JG39" s="1805" t="str">
        <f t="shared" si="246"/>
        <v/>
      </c>
      <c r="JH39" s="1805" t="str">
        <f t="shared" si="247"/>
        <v/>
      </c>
      <c r="JI39" s="1805" t="str">
        <f t="shared" si="248"/>
        <v/>
      </c>
      <c r="JJ39" s="1805" t="str">
        <f t="shared" si="249"/>
        <v/>
      </c>
      <c r="JK39" s="1805" t="str">
        <f t="shared" si="250"/>
        <v/>
      </c>
      <c r="JL39" s="1805" t="str">
        <f t="shared" si="251"/>
        <v/>
      </c>
      <c r="JM39" s="1805" t="str">
        <f t="shared" si="252"/>
        <v/>
      </c>
      <c r="JN39" s="1805" t="str">
        <f t="shared" si="253"/>
        <v/>
      </c>
      <c r="JO39" s="1805" t="str">
        <f t="shared" si="254"/>
        <v/>
      </c>
      <c r="JP39" s="1805" t="str">
        <f t="shared" si="255"/>
        <v/>
      </c>
      <c r="JQ39" s="1805" t="str">
        <f t="shared" si="256"/>
        <v/>
      </c>
      <c r="JR39" s="1805" t="str">
        <f t="shared" si="257"/>
        <v/>
      </c>
      <c r="JS39" s="1805" t="str">
        <f t="shared" si="258"/>
        <v/>
      </c>
      <c r="JT39" s="1805" t="str">
        <f t="shared" si="259"/>
        <v/>
      </c>
      <c r="JU39" s="1805" t="str">
        <f t="shared" si="260"/>
        <v/>
      </c>
      <c r="JV39" s="1805" t="str">
        <f t="shared" si="261"/>
        <v/>
      </c>
      <c r="JW39" s="1805" t="str">
        <f t="shared" si="262"/>
        <v/>
      </c>
      <c r="JX39" s="1805" t="str">
        <f t="shared" si="263"/>
        <v/>
      </c>
      <c r="JY39" s="1805" t="str">
        <f t="shared" si="264"/>
        <v/>
      </c>
      <c r="JZ39" s="1805" t="str">
        <f t="shared" si="265"/>
        <v/>
      </c>
      <c r="KA39" s="1805" t="str">
        <f t="shared" si="266"/>
        <v/>
      </c>
      <c r="KB39" s="1805" t="str">
        <f t="shared" si="267"/>
        <v/>
      </c>
      <c r="KC39" s="1805" t="str">
        <f t="shared" si="268"/>
        <v/>
      </c>
      <c r="KD39" s="1805" t="str">
        <f t="shared" si="269"/>
        <v/>
      </c>
      <c r="KE39" s="1805" t="str">
        <f t="shared" si="270"/>
        <v/>
      </c>
      <c r="KF39" s="1805" t="str">
        <f t="shared" si="271"/>
        <v/>
      </c>
      <c r="KG39" s="1805" t="str">
        <f t="shared" si="272"/>
        <v/>
      </c>
      <c r="KH39" s="1805" t="str">
        <f t="shared" si="273"/>
        <v/>
      </c>
      <c r="KI39" s="1805" t="str">
        <f t="shared" si="274"/>
        <v/>
      </c>
      <c r="KJ39" s="1805" t="str">
        <f t="shared" si="275"/>
        <v/>
      </c>
      <c r="KK39" s="1805" t="str">
        <f t="shared" si="276"/>
        <v/>
      </c>
      <c r="KL39" s="1805" t="str">
        <f t="shared" si="277"/>
        <v/>
      </c>
      <c r="KM39" s="1805" t="str">
        <f t="shared" si="278"/>
        <v/>
      </c>
      <c r="KN39" s="1805" t="str">
        <f t="shared" si="279"/>
        <v/>
      </c>
      <c r="KO39" s="1805" t="str">
        <f t="shared" si="280"/>
        <v/>
      </c>
      <c r="KP39" s="1805" t="str">
        <f t="shared" si="281"/>
        <v/>
      </c>
      <c r="KQ39" s="1805" t="str">
        <f t="shared" si="282"/>
        <v/>
      </c>
      <c r="KR39" s="1805" t="str">
        <f t="shared" si="283"/>
        <v/>
      </c>
      <c r="KS39" s="1805" t="str">
        <f t="shared" si="284"/>
        <v/>
      </c>
      <c r="KT39" s="1805" t="str">
        <f t="shared" si="285"/>
        <v/>
      </c>
      <c r="KU39" s="1805" t="str">
        <f t="shared" si="286"/>
        <v/>
      </c>
      <c r="KV39" s="1805" t="str">
        <f t="shared" si="287"/>
        <v/>
      </c>
      <c r="KW39" s="1805" t="str">
        <f t="shared" si="288"/>
        <v/>
      </c>
      <c r="KX39" s="1805" t="str">
        <f t="shared" si="289"/>
        <v/>
      </c>
      <c r="KY39" s="1805" t="str">
        <f t="shared" si="290"/>
        <v/>
      </c>
      <c r="KZ39" s="1805" t="str">
        <f t="shared" si="291"/>
        <v/>
      </c>
      <c r="LA39" s="1805" t="str">
        <f t="shared" si="292"/>
        <v/>
      </c>
      <c r="LB39" s="1805" t="str">
        <f t="shared" si="293"/>
        <v/>
      </c>
      <c r="LC39" s="1805" t="str">
        <f t="shared" si="294"/>
        <v/>
      </c>
      <c r="LD39" s="1805" t="str">
        <f t="shared" si="295"/>
        <v/>
      </c>
      <c r="LE39" s="1805" t="str">
        <f t="shared" si="296"/>
        <v/>
      </c>
      <c r="LF39" s="1805" t="str">
        <f t="shared" si="297"/>
        <v/>
      </c>
      <c r="LG39" s="1794" t="str">
        <f t="shared" si="298"/>
        <v/>
      </c>
      <c r="LH39" s="1794" t="str">
        <f t="shared" si="299"/>
        <v/>
      </c>
      <c r="LI39" s="1794" t="str">
        <f t="shared" si="300"/>
        <v/>
      </c>
      <c r="LJ39" s="1794" t="str">
        <f t="shared" si="301"/>
        <v/>
      </c>
      <c r="LK39" s="1794"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7">
        <f t="shared" si="323"/>
        <v>0</v>
      </c>
      <c r="MG39" s="1657">
        <f t="shared" si="324"/>
        <v>0</v>
      </c>
      <c r="MH39" s="1657">
        <f t="shared" si="325"/>
        <v>0</v>
      </c>
      <c r="MI39" s="1657">
        <f t="shared" si="326"/>
        <v>0</v>
      </c>
      <c r="MJ39" s="1657">
        <f t="shared" si="327"/>
        <v>0</v>
      </c>
      <c r="MK39" s="1657">
        <f t="shared" si="333"/>
        <v>0</v>
      </c>
      <c r="ML39" s="1657">
        <f t="shared" si="334"/>
        <v>0</v>
      </c>
      <c r="MM39" s="1657">
        <f t="shared" si="335"/>
        <v>0</v>
      </c>
      <c r="MN39" s="1657">
        <f t="shared" si="336"/>
        <v>0</v>
      </c>
      <c r="MO39" s="1657">
        <f t="shared" si="337"/>
        <v>0</v>
      </c>
      <c r="MP39" s="1657">
        <f t="shared" si="328"/>
        <v>0</v>
      </c>
      <c r="MQ39" s="1657">
        <f t="shared" si="329"/>
        <v>0</v>
      </c>
      <c r="MR39" s="1657">
        <f t="shared" si="330"/>
        <v>0</v>
      </c>
      <c r="MS39" s="1657">
        <f t="shared" si="331"/>
        <v>0</v>
      </c>
      <c r="MT39" s="1657">
        <f t="shared" si="332"/>
        <v>0</v>
      </c>
      <c r="NP39" s="1630" t="s">
        <v>4332</v>
      </c>
      <c r="NQ39" s="2480">
        <v>39</v>
      </c>
    </row>
    <row r="40" spans="1:381" ht="13.9" customHeight="1">
      <c r="A40" s="86" t="str">
        <f t="shared" si="0"/>
        <v/>
      </c>
      <c r="B40" s="1060"/>
      <c r="C40" s="132"/>
      <c r="D40" s="1660"/>
      <c r="E40" s="133"/>
      <c r="F40" s="133"/>
      <c r="G40" s="133"/>
      <c r="H40" s="133"/>
      <c r="I40" s="133"/>
      <c r="J40" s="743">
        <f>IF(C40="",0,HLOOKUP(C40,'Part IV-Utility Allowances'!$I$11:$M$22,12))</f>
        <v>0</v>
      </c>
      <c r="K40" s="632"/>
      <c r="L40" s="460">
        <f t="shared" si="1"/>
        <v>0</v>
      </c>
      <c r="M40" s="460">
        <f t="shared" si="2"/>
        <v>0</v>
      </c>
      <c r="N40" s="683"/>
      <c r="O40" s="1594"/>
      <c r="P40" s="683"/>
      <c r="Q40" s="134"/>
      <c r="R40" s="726"/>
      <c r="S40" s="727"/>
      <c r="T40" s="3453"/>
      <c r="U40" s="3454"/>
      <c r="V40" s="3454"/>
      <c r="W40" s="3455"/>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5" t="str">
        <f t="shared" si="213"/>
        <v/>
      </c>
      <c r="IA40" s="1805" t="str">
        <f t="shared" si="214"/>
        <v/>
      </c>
      <c r="IB40" s="1805" t="str">
        <f t="shared" si="215"/>
        <v/>
      </c>
      <c r="IC40" s="1805" t="str">
        <f t="shared" si="216"/>
        <v/>
      </c>
      <c r="ID40" s="1805" t="str">
        <f t="shared" si="217"/>
        <v/>
      </c>
      <c r="IE40" s="1805" t="str">
        <f t="shared" si="218"/>
        <v/>
      </c>
      <c r="IF40" s="1805" t="str">
        <f t="shared" si="219"/>
        <v/>
      </c>
      <c r="IG40" s="1805" t="str">
        <f t="shared" si="220"/>
        <v/>
      </c>
      <c r="IH40" s="1805" t="str">
        <f t="shared" si="221"/>
        <v/>
      </c>
      <c r="II40" s="1805" t="str">
        <f t="shared" si="222"/>
        <v/>
      </c>
      <c r="IJ40" s="1805" t="str">
        <f t="shared" si="223"/>
        <v/>
      </c>
      <c r="IK40" s="1805" t="str">
        <f t="shared" si="224"/>
        <v/>
      </c>
      <c r="IL40" s="1805" t="str">
        <f t="shared" si="225"/>
        <v/>
      </c>
      <c r="IM40" s="1805" t="str">
        <f t="shared" si="226"/>
        <v/>
      </c>
      <c r="IN40" s="1805" t="str">
        <f t="shared" si="227"/>
        <v/>
      </c>
      <c r="IO40" s="1805" t="str">
        <f t="shared" si="228"/>
        <v/>
      </c>
      <c r="IP40" s="1805" t="str">
        <f t="shared" si="229"/>
        <v/>
      </c>
      <c r="IQ40" s="1805" t="str">
        <f t="shared" si="230"/>
        <v/>
      </c>
      <c r="IR40" s="1805" t="str">
        <f t="shared" si="231"/>
        <v/>
      </c>
      <c r="IS40" s="1805" t="str">
        <f t="shared" si="232"/>
        <v/>
      </c>
      <c r="IT40" s="1805" t="str">
        <f t="shared" si="233"/>
        <v/>
      </c>
      <c r="IU40" s="1805" t="str">
        <f t="shared" si="234"/>
        <v/>
      </c>
      <c r="IV40" s="1805" t="str">
        <f t="shared" si="235"/>
        <v/>
      </c>
      <c r="IW40" s="1805" t="str">
        <f t="shared" si="236"/>
        <v/>
      </c>
      <c r="IX40" s="1805" t="str">
        <f t="shared" si="237"/>
        <v/>
      </c>
      <c r="IY40" s="1805" t="str">
        <f t="shared" si="238"/>
        <v/>
      </c>
      <c r="IZ40" s="1805" t="str">
        <f t="shared" si="239"/>
        <v/>
      </c>
      <c r="JA40" s="1805" t="str">
        <f t="shared" si="240"/>
        <v/>
      </c>
      <c r="JB40" s="1805" t="str">
        <f t="shared" si="241"/>
        <v/>
      </c>
      <c r="JC40" s="1805" t="str">
        <f t="shared" si="242"/>
        <v/>
      </c>
      <c r="JD40" s="1805" t="str">
        <f t="shared" si="243"/>
        <v/>
      </c>
      <c r="JE40" s="1805" t="str">
        <f t="shared" si="244"/>
        <v/>
      </c>
      <c r="JF40" s="1805" t="str">
        <f t="shared" si="245"/>
        <v/>
      </c>
      <c r="JG40" s="1805" t="str">
        <f t="shared" si="246"/>
        <v/>
      </c>
      <c r="JH40" s="1805" t="str">
        <f t="shared" si="247"/>
        <v/>
      </c>
      <c r="JI40" s="1805" t="str">
        <f t="shared" si="248"/>
        <v/>
      </c>
      <c r="JJ40" s="1805" t="str">
        <f t="shared" si="249"/>
        <v/>
      </c>
      <c r="JK40" s="1805" t="str">
        <f t="shared" si="250"/>
        <v/>
      </c>
      <c r="JL40" s="1805" t="str">
        <f t="shared" si="251"/>
        <v/>
      </c>
      <c r="JM40" s="1805" t="str">
        <f t="shared" si="252"/>
        <v/>
      </c>
      <c r="JN40" s="1805" t="str">
        <f t="shared" si="253"/>
        <v/>
      </c>
      <c r="JO40" s="1805" t="str">
        <f t="shared" si="254"/>
        <v/>
      </c>
      <c r="JP40" s="1805" t="str">
        <f t="shared" si="255"/>
        <v/>
      </c>
      <c r="JQ40" s="1805" t="str">
        <f t="shared" si="256"/>
        <v/>
      </c>
      <c r="JR40" s="1805" t="str">
        <f t="shared" si="257"/>
        <v/>
      </c>
      <c r="JS40" s="1805" t="str">
        <f t="shared" si="258"/>
        <v/>
      </c>
      <c r="JT40" s="1805" t="str">
        <f t="shared" si="259"/>
        <v/>
      </c>
      <c r="JU40" s="1805" t="str">
        <f t="shared" si="260"/>
        <v/>
      </c>
      <c r="JV40" s="1805" t="str">
        <f t="shared" si="261"/>
        <v/>
      </c>
      <c r="JW40" s="1805" t="str">
        <f t="shared" si="262"/>
        <v/>
      </c>
      <c r="JX40" s="1805" t="str">
        <f t="shared" si="263"/>
        <v/>
      </c>
      <c r="JY40" s="1805" t="str">
        <f t="shared" si="264"/>
        <v/>
      </c>
      <c r="JZ40" s="1805" t="str">
        <f t="shared" si="265"/>
        <v/>
      </c>
      <c r="KA40" s="1805" t="str">
        <f t="shared" si="266"/>
        <v/>
      </c>
      <c r="KB40" s="1805" t="str">
        <f t="shared" si="267"/>
        <v/>
      </c>
      <c r="KC40" s="1805" t="str">
        <f t="shared" si="268"/>
        <v/>
      </c>
      <c r="KD40" s="1805" t="str">
        <f t="shared" si="269"/>
        <v/>
      </c>
      <c r="KE40" s="1805" t="str">
        <f t="shared" si="270"/>
        <v/>
      </c>
      <c r="KF40" s="1805" t="str">
        <f t="shared" si="271"/>
        <v/>
      </c>
      <c r="KG40" s="1805" t="str">
        <f t="shared" si="272"/>
        <v/>
      </c>
      <c r="KH40" s="1805" t="str">
        <f t="shared" si="273"/>
        <v/>
      </c>
      <c r="KI40" s="1805" t="str">
        <f t="shared" si="274"/>
        <v/>
      </c>
      <c r="KJ40" s="1805" t="str">
        <f t="shared" si="275"/>
        <v/>
      </c>
      <c r="KK40" s="1805" t="str">
        <f t="shared" si="276"/>
        <v/>
      </c>
      <c r="KL40" s="1805" t="str">
        <f t="shared" si="277"/>
        <v/>
      </c>
      <c r="KM40" s="1805" t="str">
        <f t="shared" si="278"/>
        <v/>
      </c>
      <c r="KN40" s="1805" t="str">
        <f t="shared" si="279"/>
        <v/>
      </c>
      <c r="KO40" s="1805" t="str">
        <f t="shared" si="280"/>
        <v/>
      </c>
      <c r="KP40" s="1805" t="str">
        <f t="shared" si="281"/>
        <v/>
      </c>
      <c r="KQ40" s="1805" t="str">
        <f t="shared" si="282"/>
        <v/>
      </c>
      <c r="KR40" s="1805" t="str">
        <f t="shared" si="283"/>
        <v/>
      </c>
      <c r="KS40" s="1805" t="str">
        <f t="shared" si="284"/>
        <v/>
      </c>
      <c r="KT40" s="1805" t="str">
        <f t="shared" si="285"/>
        <v/>
      </c>
      <c r="KU40" s="1805" t="str">
        <f t="shared" si="286"/>
        <v/>
      </c>
      <c r="KV40" s="1805" t="str">
        <f t="shared" si="287"/>
        <v/>
      </c>
      <c r="KW40" s="1805" t="str">
        <f t="shared" si="288"/>
        <v/>
      </c>
      <c r="KX40" s="1805" t="str">
        <f t="shared" si="289"/>
        <v/>
      </c>
      <c r="KY40" s="1805" t="str">
        <f t="shared" si="290"/>
        <v/>
      </c>
      <c r="KZ40" s="1805" t="str">
        <f t="shared" si="291"/>
        <v/>
      </c>
      <c r="LA40" s="1805" t="str">
        <f t="shared" si="292"/>
        <v/>
      </c>
      <c r="LB40" s="1805" t="str">
        <f t="shared" si="293"/>
        <v/>
      </c>
      <c r="LC40" s="1805" t="str">
        <f t="shared" si="294"/>
        <v/>
      </c>
      <c r="LD40" s="1805" t="str">
        <f t="shared" si="295"/>
        <v/>
      </c>
      <c r="LE40" s="1805" t="str">
        <f t="shared" si="296"/>
        <v/>
      </c>
      <c r="LF40" s="1805" t="str">
        <f t="shared" si="297"/>
        <v/>
      </c>
      <c r="LG40" s="1794" t="str">
        <f t="shared" si="298"/>
        <v/>
      </c>
      <c r="LH40" s="1794" t="str">
        <f t="shared" si="299"/>
        <v/>
      </c>
      <c r="LI40" s="1794" t="str">
        <f t="shared" si="300"/>
        <v/>
      </c>
      <c r="LJ40" s="1794" t="str">
        <f t="shared" si="301"/>
        <v/>
      </c>
      <c r="LK40" s="1794"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7">
        <f t="shared" si="323"/>
        <v>0</v>
      </c>
      <c r="MG40" s="1657">
        <f t="shared" si="324"/>
        <v>0</v>
      </c>
      <c r="MH40" s="1657">
        <f t="shared" si="325"/>
        <v>0</v>
      </c>
      <c r="MI40" s="1657">
        <f t="shared" si="326"/>
        <v>0</v>
      </c>
      <c r="MJ40" s="1657">
        <f t="shared" si="327"/>
        <v>0</v>
      </c>
      <c r="MK40" s="1657">
        <f t="shared" si="333"/>
        <v>0</v>
      </c>
      <c r="ML40" s="1657">
        <f t="shared" si="334"/>
        <v>0</v>
      </c>
      <c r="MM40" s="1657">
        <f t="shared" si="335"/>
        <v>0</v>
      </c>
      <c r="MN40" s="1657">
        <f t="shared" si="336"/>
        <v>0</v>
      </c>
      <c r="MO40" s="1657">
        <f t="shared" si="337"/>
        <v>0</v>
      </c>
      <c r="MP40" s="1657">
        <f t="shared" si="328"/>
        <v>0</v>
      </c>
      <c r="MQ40" s="1657">
        <f t="shared" si="329"/>
        <v>0</v>
      </c>
      <c r="MR40" s="1657">
        <f t="shared" si="330"/>
        <v>0</v>
      </c>
      <c r="MS40" s="1657">
        <f t="shared" si="331"/>
        <v>0</v>
      </c>
      <c r="MT40" s="1657">
        <f t="shared" si="332"/>
        <v>0</v>
      </c>
      <c r="NP40" s="1630" t="s">
        <v>4333</v>
      </c>
      <c r="NQ40" s="2480">
        <v>40</v>
      </c>
    </row>
    <row r="41" spans="1:381" ht="13.9" customHeight="1">
      <c r="A41" s="86" t="str">
        <f t="shared" si="0"/>
        <v/>
      </c>
      <c r="B41" s="1060"/>
      <c r="C41" s="132"/>
      <c r="D41" s="1660"/>
      <c r="E41" s="133"/>
      <c r="F41" s="133"/>
      <c r="G41" s="133"/>
      <c r="H41" s="133"/>
      <c r="I41" s="133"/>
      <c r="J41" s="743">
        <f>IF(C41="",0,HLOOKUP(C41,'Part IV-Utility Allowances'!$I$11:$M$22,12))</f>
        <v>0</v>
      </c>
      <c r="K41" s="632"/>
      <c r="L41" s="460">
        <f t="shared" si="1"/>
        <v>0</v>
      </c>
      <c r="M41" s="460">
        <f t="shared" si="2"/>
        <v>0</v>
      </c>
      <c r="N41" s="683"/>
      <c r="O41" s="1594"/>
      <c r="P41" s="683"/>
      <c r="Q41" s="134"/>
      <c r="R41" s="726"/>
      <c r="S41" s="727"/>
      <c r="T41" s="3453"/>
      <c r="U41" s="3454"/>
      <c r="V41" s="3454"/>
      <c r="W41" s="3455"/>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5" t="str">
        <f t="shared" si="213"/>
        <v/>
      </c>
      <c r="IA41" s="1805" t="str">
        <f t="shared" si="214"/>
        <v/>
      </c>
      <c r="IB41" s="1805" t="str">
        <f t="shared" si="215"/>
        <v/>
      </c>
      <c r="IC41" s="1805" t="str">
        <f t="shared" si="216"/>
        <v/>
      </c>
      <c r="ID41" s="1805" t="str">
        <f t="shared" si="217"/>
        <v/>
      </c>
      <c r="IE41" s="1805" t="str">
        <f t="shared" si="218"/>
        <v/>
      </c>
      <c r="IF41" s="1805" t="str">
        <f t="shared" si="219"/>
        <v/>
      </c>
      <c r="IG41" s="1805" t="str">
        <f t="shared" si="220"/>
        <v/>
      </c>
      <c r="IH41" s="1805" t="str">
        <f t="shared" si="221"/>
        <v/>
      </c>
      <c r="II41" s="1805" t="str">
        <f t="shared" si="222"/>
        <v/>
      </c>
      <c r="IJ41" s="1805" t="str">
        <f t="shared" si="223"/>
        <v/>
      </c>
      <c r="IK41" s="1805" t="str">
        <f t="shared" si="224"/>
        <v/>
      </c>
      <c r="IL41" s="1805" t="str">
        <f t="shared" si="225"/>
        <v/>
      </c>
      <c r="IM41" s="1805" t="str">
        <f t="shared" si="226"/>
        <v/>
      </c>
      <c r="IN41" s="1805" t="str">
        <f t="shared" si="227"/>
        <v/>
      </c>
      <c r="IO41" s="1805" t="str">
        <f t="shared" si="228"/>
        <v/>
      </c>
      <c r="IP41" s="1805" t="str">
        <f t="shared" si="229"/>
        <v/>
      </c>
      <c r="IQ41" s="1805" t="str">
        <f t="shared" si="230"/>
        <v/>
      </c>
      <c r="IR41" s="1805" t="str">
        <f t="shared" si="231"/>
        <v/>
      </c>
      <c r="IS41" s="1805" t="str">
        <f t="shared" si="232"/>
        <v/>
      </c>
      <c r="IT41" s="1805" t="str">
        <f t="shared" si="233"/>
        <v/>
      </c>
      <c r="IU41" s="1805" t="str">
        <f t="shared" si="234"/>
        <v/>
      </c>
      <c r="IV41" s="1805" t="str">
        <f t="shared" si="235"/>
        <v/>
      </c>
      <c r="IW41" s="1805" t="str">
        <f t="shared" si="236"/>
        <v/>
      </c>
      <c r="IX41" s="1805" t="str">
        <f t="shared" si="237"/>
        <v/>
      </c>
      <c r="IY41" s="1805" t="str">
        <f t="shared" si="238"/>
        <v/>
      </c>
      <c r="IZ41" s="1805" t="str">
        <f t="shared" si="239"/>
        <v/>
      </c>
      <c r="JA41" s="1805" t="str">
        <f t="shared" si="240"/>
        <v/>
      </c>
      <c r="JB41" s="1805" t="str">
        <f t="shared" si="241"/>
        <v/>
      </c>
      <c r="JC41" s="1805" t="str">
        <f t="shared" si="242"/>
        <v/>
      </c>
      <c r="JD41" s="1805" t="str">
        <f t="shared" si="243"/>
        <v/>
      </c>
      <c r="JE41" s="1805" t="str">
        <f t="shared" si="244"/>
        <v/>
      </c>
      <c r="JF41" s="1805" t="str">
        <f t="shared" si="245"/>
        <v/>
      </c>
      <c r="JG41" s="1805" t="str">
        <f t="shared" si="246"/>
        <v/>
      </c>
      <c r="JH41" s="1805" t="str">
        <f t="shared" si="247"/>
        <v/>
      </c>
      <c r="JI41" s="1805" t="str">
        <f t="shared" si="248"/>
        <v/>
      </c>
      <c r="JJ41" s="1805" t="str">
        <f t="shared" si="249"/>
        <v/>
      </c>
      <c r="JK41" s="1805" t="str">
        <f t="shared" si="250"/>
        <v/>
      </c>
      <c r="JL41" s="1805" t="str">
        <f t="shared" si="251"/>
        <v/>
      </c>
      <c r="JM41" s="1805" t="str">
        <f t="shared" si="252"/>
        <v/>
      </c>
      <c r="JN41" s="1805" t="str">
        <f t="shared" si="253"/>
        <v/>
      </c>
      <c r="JO41" s="1805" t="str">
        <f t="shared" si="254"/>
        <v/>
      </c>
      <c r="JP41" s="1805" t="str">
        <f t="shared" si="255"/>
        <v/>
      </c>
      <c r="JQ41" s="1805" t="str">
        <f t="shared" si="256"/>
        <v/>
      </c>
      <c r="JR41" s="1805" t="str">
        <f t="shared" si="257"/>
        <v/>
      </c>
      <c r="JS41" s="1805" t="str">
        <f t="shared" si="258"/>
        <v/>
      </c>
      <c r="JT41" s="1805" t="str">
        <f t="shared" si="259"/>
        <v/>
      </c>
      <c r="JU41" s="1805" t="str">
        <f t="shared" si="260"/>
        <v/>
      </c>
      <c r="JV41" s="1805" t="str">
        <f t="shared" si="261"/>
        <v/>
      </c>
      <c r="JW41" s="1805" t="str">
        <f t="shared" si="262"/>
        <v/>
      </c>
      <c r="JX41" s="1805" t="str">
        <f t="shared" si="263"/>
        <v/>
      </c>
      <c r="JY41" s="1805" t="str">
        <f t="shared" si="264"/>
        <v/>
      </c>
      <c r="JZ41" s="1805" t="str">
        <f t="shared" si="265"/>
        <v/>
      </c>
      <c r="KA41" s="1805" t="str">
        <f t="shared" si="266"/>
        <v/>
      </c>
      <c r="KB41" s="1805" t="str">
        <f t="shared" si="267"/>
        <v/>
      </c>
      <c r="KC41" s="1805" t="str">
        <f t="shared" si="268"/>
        <v/>
      </c>
      <c r="KD41" s="1805" t="str">
        <f t="shared" si="269"/>
        <v/>
      </c>
      <c r="KE41" s="1805" t="str">
        <f t="shared" si="270"/>
        <v/>
      </c>
      <c r="KF41" s="1805" t="str">
        <f t="shared" si="271"/>
        <v/>
      </c>
      <c r="KG41" s="1805" t="str">
        <f t="shared" si="272"/>
        <v/>
      </c>
      <c r="KH41" s="1805" t="str">
        <f t="shared" si="273"/>
        <v/>
      </c>
      <c r="KI41" s="1805" t="str">
        <f t="shared" si="274"/>
        <v/>
      </c>
      <c r="KJ41" s="1805" t="str">
        <f t="shared" si="275"/>
        <v/>
      </c>
      <c r="KK41" s="1805" t="str">
        <f t="shared" si="276"/>
        <v/>
      </c>
      <c r="KL41" s="1805" t="str">
        <f t="shared" si="277"/>
        <v/>
      </c>
      <c r="KM41" s="1805" t="str">
        <f t="shared" si="278"/>
        <v/>
      </c>
      <c r="KN41" s="1805" t="str">
        <f t="shared" si="279"/>
        <v/>
      </c>
      <c r="KO41" s="1805" t="str">
        <f t="shared" si="280"/>
        <v/>
      </c>
      <c r="KP41" s="1805" t="str">
        <f t="shared" si="281"/>
        <v/>
      </c>
      <c r="KQ41" s="1805" t="str">
        <f t="shared" si="282"/>
        <v/>
      </c>
      <c r="KR41" s="1805" t="str">
        <f t="shared" si="283"/>
        <v/>
      </c>
      <c r="KS41" s="1805" t="str">
        <f t="shared" si="284"/>
        <v/>
      </c>
      <c r="KT41" s="1805" t="str">
        <f t="shared" si="285"/>
        <v/>
      </c>
      <c r="KU41" s="1805" t="str">
        <f t="shared" si="286"/>
        <v/>
      </c>
      <c r="KV41" s="1805" t="str">
        <f t="shared" si="287"/>
        <v/>
      </c>
      <c r="KW41" s="1805" t="str">
        <f t="shared" si="288"/>
        <v/>
      </c>
      <c r="KX41" s="1805" t="str">
        <f t="shared" si="289"/>
        <v/>
      </c>
      <c r="KY41" s="1805" t="str">
        <f t="shared" si="290"/>
        <v/>
      </c>
      <c r="KZ41" s="1805" t="str">
        <f t="shared" si="291"/>
        <v/>
      </c>
      <c r="LA41" s="1805" t="str">
        <f t="shared" si="292"/>
        <v/>
      </c>
      <c r="LB41" s="1805" t="str">
        <f t="shared" si="293"/>
        <v/>
      </c>
      <c r="LC41" s="1805" t="str">
        <f t="shared" si="294"/>
        <v/>
      </c>
      <c r="LD41" s="1805" t="str">
        <f t="shared" si="295"/>
        <v/>
      </c>
      <c r="LE41" s="1805" t="str">
        <f t="shared" si="296"/>
        <v/>
      </c>
      <c r="LF41" s="1805" t="str">
        <f t="shared" si="297"/>
        <v/>
      </c>
      <c r="LG41" s="1794" t="str">
        <f t="shared" si="298"/>
        <v/>
      </c>
      <c r="LH41" s="1794" t="str">
        <f t="shared" si="299"/>
        <v/>
      </c>
      <c r="LI41" s="1794" t="str">
        <f t="shared" si="300"/>
        <v/>
      </c>
      <c r="LJ41" s="1794" t="str">
        <f t="shared" si="301"/>
        <v/>
      </c>
      <c r="LK41" s="1794"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7">
        <f t="shared" si="323"/>
        <v>0</v>
      </c>
      <c r="MG41" s="1657">
        <f t="shared" si="324"/>
        <v>0</v>
      </c>
      <c r="MH41" s="1657">
        <f t="shared" si="325"/>
        <v>0</v>
      </c>
      <c r="MI41" s="1657">
        <f t="shared" si="326"/>
        <v>0</v>
      </c>
      <c r="MJ41" s="1657">
        <f t="shared" si="327"/>
        <v>0</v>
      </c>
      <c r="MK41" s="1657">
        <f t="shared" si="333"/>
        <v>0</v>
      </c>
      <c r="ML41" s="1657">
        <f t="shared" si="334"/>
        <v>0</v>
      </c>
      <c r="MM41" s="1657">
        <f t="shared" si="335"/>
        <v>0</v>
      </c>
      <c r="MN41" s="1657">
        <f t="shared" si="336"/>
        <v>0</v>
      </c>
      <c r="MO41" s="1657">
        <f t="shared" si="337"/>
        <v>0</v>
      </c>
      <c r="MP41" s="1657">
        <f t="shared" si="328"/>
        <v>0</v>
      </c>
      <c r="MQ41" s="1657">
        <f t="shared" si="329"/>
        <v>0</v>
      </c>
      <c r="MR41" s="1657">
        <f t="shared" si="330"/>
        <v>0</v>
      </c>
      <c r="MS41" s="1657">
        <f t="shared" si="331"/>
        <v>0</v>
      </c>
      <c r="MT41" s="1657">
        <f t="shared" si="332"/>
        <v>0</v>
      </c>
      <c r="NP41" s="1630" t="s">
        <v>4334</v>
      </c>
      <c r="NQ41" s="2480">
        <v>41</v>
      </c>
    </row>
    <row r="42" spans="1:381" ht="13.9" customHeight="1">
      <c r="A42" s="86" t="str">
        <f t="shared" si="0"/>
        <v/>
      </c>
      <c r="B42" s="1060"/>
      <c r="C42" s="132"/>
      <c r="D42" s="1660"/>
      <c r="E42" s="133"/>
      <c r="F42" s="133"/>
      <c r="G42" s="133"/>
      <c r="H42" s="133"/>
      <c r="I42" s="133"/>
      <c r="J42" s="743">
        <f>IF(C42="",0,HLOOKUP(C42,'Part IV-Utility Allowances'!$I$11:$M$22,12))</f>
        <v>0</v>
      </c>
      <c r="K42" s="632"/>
      <c r="L42" s="460">
        <f t="shared" si="1"/>
        <v>0</v>
      </c>
      <c r="M42" s="460">
        <f t="shared" si="2"/>
        <v>0</v>
      </c>
      <c r="N42" s="683"/>
      <c r="O42" s="1594"/>
      <c r="P42" s="683"/>
      <c r="Q42" s="134"/>
      <c r="R42" s="726"/>
      <c r="S42" s="727"/>
      <c r="T42" s="3453"/>
      <c r="U42" s="3454"/>
      <c r="V42" s="3454"/>
      <c r="W42" s="3455"/>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5" t="str">
        <f t="shared" si="213"/>
        <v/>
      </c>
      <c r="IA42" s="1805" t="str">
        <f t="shared" si="214"/>
        <v/>
      </c>
      <c r="IB42" s="1805" t="str">
        <f t="shared" si="215"/>
        <v/>
      </c>
      <c r="IC42" s="1805" t="str">
        <f t="shared" si="216"/>
        <v/>
      </c>
      <c r="ID42" s="1805" t="str">
        <f t="shared" si="217"/>
        <v/>
      </c>
      <c r="IE42" s="1805" t="str">
        <f t="shared" si="218"/>
        <v/>
      </c>
      <c r="IF42" s="1805" t="str">
        <f t="shared" si="219"/>
        <v/>
      </c>
      <c r="IG42" s="1805" t="str">
        <f t="shared" si="220"/>
        <v/>
      </c>
      <c r="IH42" s="1805" t="str">
        <f t="shared" si="221"/>
        <v/>
      </c>
      <c r="II42" s="1805" t="str">
        <f t="shared" si="222"/>
        <v/>
      </c>
      <c r="IJ42" s="1805" t="str">
        <f t="shared" si="223"/>
        <v/>
      </c>
      <c r="IK42" s="1805" t="str">
        <f t="shared" si="224"/>
        <v/>
      </c>
      <c r="IL42" s="1805" t="str">
        <f t="shared" si="225"/>
        <v/>
      </c>
      <c r="IM42" s="1805" t="str">
        <f t="shared" si="226"/>
        <v/>
      </c>
      <c r="IN42" s="1805" t="str">
        <f t="shared" si="227"/>
        <v/>
      </c>
      <c r="IO42" s="1805" t="str">
        <f t="shared" si="228"/>
        <v/>
      </c>
      <c r="IP42" s="1805" t="str">
        <f t="shared" si="229"/>
        <v/>
      </c>
      <c r="IQ42" s="1805" t="str">
        <f t="shared" si="230"/>
        <v/>
      </c>
      <c r="IR42" s="1805" t="str">
        <f t="shared" si="231"/>
        <v/>
      </c>
      <c r="IS42" s="1805" t="str">
        <f t="shared" si="232"/>
        <v/>
      </c>
      <c r="IT42" s="1805" t="str">
        <f t="shared" si="233"/>
        <v/>
      </c>
      <c r="IU42" s="1805" t="str">
        <f t="shared" si="234"/>
        <v/>
      </c>
      <c r="IV42" s="1805" t="str">
        <f t="shared" si="235"/>
        <v/>
      </c>
      <c r="IW42" s="1805" t="str">
        <f t="shared" si="236"/>
        <v/>
      </c>
      <c r="IX42" s="1805" t="str">
        <f t="shared" si="237"/>
        <v/>
      </c>
      <c r="IY42" s="1805" t="str">
        <f t="shared" si="238"/>
        <v/>
      </c>
      <c r="IZ42" s="1805" t="str">
        <f t="shared" si="239"/>
        <v/>
      </c>
      <c r="JA42" s="1805" t="str">
        <f t="shared" si="240"/>
        <v/>
      </c>
      <c r="JB42" s="1805" t="str">
        <f t="shared" si="241"/>
        <v/>
      </c>
      <c r="JC42" s="1805" t="str">
        <f t="shared" si="242"/>
        <v/>
      </c>
      <c r="JD42" s="1805" t="str">
        <f t="shared" si="243"/>
        <v/>
      </c>
      <c r="JE42" s="1805" t="str">
        <f t="shared" si="244"/>
        <v/>
      </c>
      <c r="JF42" s="1805" t="str">
        <f t="shared" si="245"/>
        <v/>
      </c>
      <c r="JG42" s="1805" t="str">
        <f t="shared" si="246"/>
        <v/>
      </c>
      <c r="JH42" s="1805" t="str">
        <f t="shared" si="247"/>
        <v/>
      </c>
      <c r="JI42" s="1805" t="str">
        <f t="shared" si="248"/>
        <v/>
      </c>
      <c r="JJ42" s="1805" t="str">
        <f t="shared" si="249"/>
        <v/>
      </c>
      <c r="JK42" s="1805" t="str">
        <f t="shared" si="250"/>
        <v/>
      </c>
      <c r="JL42" s="1805" t="str">
        <f t="shared" si="251"/>
        <v/>
      </c>
      <c r="JM42" s="1805" t="str">
        <f t="shared" si="252"/>
        <v/>
      </c>
      <c r="JN42" s="1805" t="str">
        <f t="shared" si="253"/>
        <v/>
      </c>
      <c r="JO42" s="1805" t="str">
        <f t="shared" si="254"/>
        <v/>
      </c>
      <c r="JP42" s="1805" t="str">
        <f t="shared" si="255"/>
        <v/>
      </c>
      <c r="JQ42" s="1805" t="str">
        <f t="shared" si="256"/>
        <v/>
      </c>
      <c r="JR42" s="1805" t="str">
        <f t="shared" si="257"/>
        <v/>
      </c>
      <c r="JS42" s="1805" t="str">
        <f t="shared" si="258"/>
        <v/>
      </c>
      <c r="JT42" s="1805" t="str">
        <f t="shared" si="259"/>
        <v/>
      </c>
      <c r="JU42" s="1805" t="str">
        <f t="shared" si="260"/>
        <v/>
      </c>
      <c r="JV42" s="1805" t="str">
        <f t="shared" si="261"/>
        <v/>
      </c>
      <c r="JW42" s="1805" t="str">
        <f t="shared" si="262"/>
        <v/>
      </c>
      <c r="JX42" s="1805" t="str">
        <f t="shared" si="263"/>
        <v/>
      </c>
      <c r="JY42" s="1805" t="str">
        <f t="shared" si="264"/>
        <v/>
      </c>
      <c r="JZ42" s="1805" t="str">
        <f t="shared" si="265"/>
        <v/>
      </c>
      <c r="KA42" s="1805" t="str">
        <f t="shared" si="266"/>
        <v/>
      </c>
      <c r="KB42" s="1805" t="str">
        <f t="shared" si="267"/>
        <v/>
      </c>
      <c r="KC42" s="1805" t="str">
        <f t="shared" si="268"/>
        <v/>
      </c>
      <c r="KD42" s="1805" t="str">
        <f t="shared" si="269"/>
        <v/>
      </c>
      <c r="KE42" s="1805" t="str">
        <f t="shared" si="270"/>
        <v/>
      </c>
      <c r="KF42" s="1805" t="str">
        <f t="shared" si="271"/>
        <v/>
      </c>
      <c r="KG42" s="1805" t="str">
        <f t="shared" si="272"/>
        <v/>
      </c>
      <c r="KH42" s="1805" t="str">
        <f t="shared" si="273"/>
        <v/>
      </c>
      <c r="KI42" s="1805" t="str">
        <f t="shared" si="274"/>
        <v/>
      </c>
      <c r="KJ42" s="1805" t="str">
        <f t="shared" si="275"/>
        <v/>
      </c>
      <c r="KK42" s="1805" t="str">
        <f t="shared" si="276"/>
        <v/>
      </c>
      <c r="KL42" s="1805" t="str">
        <f t="shared" si="277"/>
        <v/>
      </c>
      <c r="KM42" s="1805" t="str">
        <f t="shared" si="278"/>
        <v/>
      </c>
      <c r="KN42" s="1805" t="str">
        <f t="shared" si="279"/>
        <v/>
      </c>
      <c r="KO42" s="1805" t="str">
        <f t="shared" si="280"/>
        <v/>
      </c>
      <c r="KP42" s="1805" t="str">
        <f t="shared" si="281"/>
        <v/>
      </c>
      <c r="KQ42" s="1805" t="str">
        <f t="shared" si="282"/>
        <v/>
      </c>
      <c r="KR42" s="1805" t="str">
        <f t="shared" si="283"/>
        <v/>
      </c>
      <c r="KS42" s="1805" t="str">
        <f t="shared" si="284"/>
        <v/>
      </c>
      <c r="KT42" s="1805" t="str">
        <f t="shared" si="285"/>
        <v/>
      </c>
      <c r="KU42" s="1805" t="str">
        <f t="shared" si="286"/>
        <v/>
      </c>
      <c r="KV42" s="1805" t="str">
        <f t="shared" si="287"/>
        <v/>
      </c>
      <c r="KW42" s="1805" t="str">
        <f t="shared" si="288"/>
        <v/>
      </c>
      <c r="KX42" s="1805" t="str">
        <f t="shared" si="289"/>
        <v/>
      </c>
      <c r="KY42" s="1805" t="str">
        <f t="shared" si="290"/>
        <v/>
      </c>
      <c r="KZ42" s="1805" t="str">
        <f t="shared" si="291"/>
        <v/>
      </c>
      <c r="LA42" s="1805" t="str">
        <f t="shared" si="292"/>
        <v/>
      </c>
      <c r="LB42" s="1805" t="str">
        <f t="shared" si="293"/>
        <v/>
      </c>
      <c r="LC42" s="1805" t="str">
        <f t="shared" si="294"/>
        <v/>
      </c>
      <c r="LD42" s="1805" t="str">
        <f t="shared" si="295"/>
        <v/>
      </c>
      <c r="LE42" s="1805" t="str">
        <f t="shared" si="296"/>
        <v/>
      </c>
      <c r="LF42" s="1805" t="str">
        <f t="shared" si="297"/>
        <v/>
      </c>
      <c r="LG42" s="1794" t="str">
        <f t="shared" si="298"/>
        <v/>
      </c>
      <c r="LH42" s="1794" t="str">
        <f t="shared" si="299"/>
        <v/>
      </c>
      <c r="LI42" s="1794" t="str">
        <f t="shared" si="300"/>
        <v/>
      </c>
      <c r="LJ42" s="1794" t="str">
        <f t="shared" si="301"/>
        <v/>
      </c>
      <c r="LK42" s="1794"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7">
        <f t="shared" si="323"/>
        <v>0</v>
      </c>
      <c r="MG42" s="1657">
        <f t="shared" si="324"/>
        <v>0</v>
      </c>
      <c r="MH42" s="1657">
        <f t="shared" si="325"/>
        <v>0</v>
      </c>
      <c r="MI42" s="1657">
        <f t="shared" si="326"/>
        <v>0</v>
      </c>
      <c r="MJ42" s="1657">
        <f t="shared" si="327"/>
        <v>0</v>
      </c>
      <c r="MK42" s="1657">
        <f t="shared" si="333"/>
        <v>0</v>
      </c>
      <c r="ML42" s="1657">
        <f t="shared" si="334"/>
        <v>0</v>
      </c>
      <c r="MM42" s="1657">
        <f t="shared" si="335"/>
        <v>0</v>
      </c>
      <c r="MN42" s="1657">
        <f t="shared" si="336"/>
        <v>0</v>
      </c>
      <c r="MO42" s="1657">
        <f t="shared" si="337"/>
        <v>0</v>
      </c>
      <c r="MP42" s="1657">
        <f t="shared" si="328"/>
        <v>0</v>
      </c>
      <c r="MQ42" s="1657">
        <f t="shared" si="329"/>
        <v>0</v>
      </c>
      <c r="MR42" s="1657">
        <f t="shared" si="330"/>
        <v>0</v>
      </c>
      <c r="MS42" s="1657">
        <f t="shared" si="331"/>
        <v>0</v>
      </c>
      <c r="MT42" s="1657">
        <f t="shared" si="332"/>
        <v>0</v>
      </c>
      <c r="NP42" s="1630" t="s">
        <v>4335</v>
      </c>
      <c r="NQ42" s="2481">
        <v>42</v>
      </c>
    </row>
    <row r="43" spans="1:381" ht="13.9" customHeight="1">
      <c r="A43" s="86" t="str">
        <f t="shared" si="0"/>
        <v/>
      </c>
      <c r="B43" s="1060"/>
      <c r="C43" s="132"/>
      <c r="D43" s="1660"/>
      <c r="E43" s="133"/>
      <c r="F43" s="133"/>
      <c r="G43" s="133"/>
      <c r="H43" s="133"/>
      <c r="I43" s="133"/>
      <c r="J43" s="743">
        <f>IF(C43="",0,HLOOKUP(C43,'Part IV-Utility Allowances'!$I$11:$M$22,12))</f>
        <v>0</v>
      </c>
      <c r="K43" s="632"/>
      <c r="L43" s="460">
        <f t="shared" si="1"/>
        <v>0</v>
      </c>
      <c r="M43" s="460">
        <f t="shared" si="2"/>
        <v>0</v>
      </c>
      <c r="N43" s="683"/>
      <c r="O43" s="1594"/>
      <c r="P43" s="683"/>
      <c r="Q43" s="134"/>
      <c r="R43" s="726"/>
      <c r="S43" s="727"/>
      <c r="T43" s="3453"/>
      <c r="U43" s="3454"/>
      <c r="V43" s="3454"/>
      <c r="W43" s="3455"/>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5" t="str">
        <f t="shared" si="213"/>
        <v/>
      </c>
      <c r="IA43" s="1805" t="str">
        <f t="shared" si="214"/>
        <v/>
      </c>
      <c r="IB43" s="1805" t="str">
        <f t="shared" si="215"/>
        <v/>
      </c>
      <c r="IC43" s="1805" t="str">
        <f t="shared" si="216"/>
        <v/>
      </c>
      <c r="ID43" s="1805" t="str">
        <f t="shared" si="217"/>
        <v/>
      </c>
      <c r="IE43" s="1805" t="str">
        <f t="shared" si="218"/>
        <v/>
      </c>
      <c r="IF43" s="1805" t="str">
        <f t="shared" si="219"/>
        <v/>
      </c>
      <c r="IG43" s="1805" t="str">
        <f t="shared" si="220"/>
        <v/>
      </c>
      <c r="IH43" s="1805" t="str">
        <f t="shared" si="221"/>
        <v/>
      </c>
      <c r="II43" s="1805" t="str">
        <f t="shared" si="222"/>
        <v/>
      </c>
      <c r="IJ43" s="1805" t="str">
        <f t="shared" si="223"/>
        <v/>
      </c>
      <c r="IK43" s="1805" t="str">
        <f t="shared" si="224"/>
        <v/>
      </c>
      <c r="IL43" s="1805" t="str">
        <f t="shared" si="225"/>
        <v/>
      </c>
      <c r="IM43" s="1805" t="str">
        <f t="shared" si="226"/>
        <v/>
      </c>
      <c r="IN43" s="1805" t="str">
        <f t="shared" si="227"/>
        <v/>
      </c>
      <c r="IO43" s="1805" t="str">
        <f t="shared" si="228"/>
        <v/>
      </c>
      <c r="IP43" s="1805" t="str">
        <f t="shared" si="229"/>
        <v/>
      </c>
      <c r="IQ43" s="1805" t="str">
        <f t="shared" si="230"/>
        <v/>
      </c>
      <c r="IR43" s="1805" t="str">
        <f t="shared" si="231"/>
        <v/>
      </c>
      <c r="IS43" s="1805" t="str">
        <f t="shared" si="232"/>
        <v/>
      </c>
      <c r="IT43" s="1805" t="str">
        <f t="shared" si="233"/>
        <v/>
      </c>
      <c r="IU43" s="1805" t="str">
        <f t="shared" si="234"/>
        <v/>
      </c>
      <c r="IV43" s="1805" t="str">
        <f t="shared" si="235"/>
        <v/>
      </c>
      <c r="IW43" s="1805" t="str">
        <f t="shared" si="236"/>
        <v/>
      </c>
      <c r="IX43" s="1805" t="str">
        <f t="shared" si="237"/>
        <v/>
      </c>
      <c r="IY43" s="1805" t="str">
        <f t="shared" si="238"/>
        <v/>
      </c>
      <c r="IZ43" s="1805" t="str">
        <f t="shared" si="239"/>
        <v/>
      </c>
      <c r="JA43" s="1805" t="str">
        <f t="shared" si="240"/>
        <v/>
      </c>
      <c r="JB43" s="1805" t="str">
        <f t="shared" si="241"/>
        <v/>
      </c>
      <c r="JC43" s="1805" t="str">
        <f t="shared" si="242"/>
        <v/>
      </c>
      <c r="JD43" s="1805" t="str">
        <f t="shared" si="243"/>
        <v/>
      </c>
      <c r="JE43" s="1805" t="str">
        <f t="shared" si="244"/>
        <v/>
      </c>
      <c r="JF43" s="1805" t="str">
        <f t="shared" si="245"/>
        <v/>
      </c>
      <c r="JG43" s="1805" t="str">
        <f t="shared" si="246"/>
        <v/>
      </c>
      <c r="JH43" s="1805" t="str">
        <f t="shared" si="247"/>
        <v/>
      </c>
      <c r="JI43" s="1805" t="str">
        <f t="shared" si="248"/>
        <v/>
      </c>
      <c r="JJ43" s="1805" t="str">
        <f t="shared" si="249"/>
        <v/>
      </c>
      <c r="JK43" s="1805" t="str">
        <f t="shared" si="250"/>
        <v/>
      </c>
      <c r="JL43" s="1805" t="str">
        <f t="shared" si="251"/>
        <v/>
      </c>
      <c r="JM43" s="1805" t="str">
        <f t="shared" si="252"/>
        <v/>
      </c>
      <c r="JN43" s="1805" t="str">
        <f t="shared" si="253"/>
        <v/>
      </c>
      <c r="JO43" s="1805" t="str">
        <f t="shared" si="254"/>
        <v/>
      </c>
      <c r="JP43" s="1805" t="str">
        <f t="shared" si="255"/>
        <v/>
      </c>
      <c r="JQ43" s="1805" t="str">
        <f t="shared" si="256"/>
        <v/>
      </c>
      <c r="JR43" s="1805" t="str">
        <f t="shared" si="257"/>
        <v/>
      </c>
      <c r="JS43" s="1805" t="str">
        <f t="shared" si="258"/>
        <v/>
      </c>
      <c r="JT43" s="1805" t="str">
        <f t="shared" si="259"/>
        <v/>
      </c>
      <c r="JU43" s="1805" t="str">
        <f t="shared" si="260"/>
        <v/>
      </c>
      <c r="JV43" s="1805" t="str">
        <f t="shared" si="261"/>
        <v/>
      </c>
      <c r="JW43" s="1805" t="str">
        <f t="shared" si="262"/>
        <v/>
      </c>
      <c r="JX43" s="1805" t="str">
        <f t="shared" si="263"/>
        <v/>
      </c>
      <c r="JY43" s="1805" t="str">
        <f t="shared" si="264"/>
        <v/>
      </c>
      <c r="JZ43" s="1805" t="str">
        <f t="shared" si="265"/>
        <v/>
      </c>
      <c r="KA43" s="1805" t="str">
        <f t="shared" si="266"/>
        <v/>
      </c>
      <c r="KB43" s="1805" t="str">
        <f t="shared" si="267"/>
        <v/>
      </c>
      <c r="KC43" s="1805" t="str">
        <f t="shared" si="268"/>
        <v/>
      </c>
      <c r="KD43" s="1805" t="str">
        <f t="shared" si="269"/>
        <v/>
      </c>
      <c r="KE43" s="1805" t="str">
        <f t="shared" si="270"/>
        <v/>
      </c>
      <c r="KF43" s="1805" t="str">
        <f t="shared" si="271"/>
        <v/>
      </c>
      <c r="KG43" s="1805" t="str">
        <f t="shared" si="272"/>
        <v/>
      </c>
      <c r="KH43" s="1805" t="str">
        <f t="shared" si="273"/>
        <v/>
      </c>
      <c r="KI43" s="1805" t="str">
        <f t="shared" si="274"/>
        <v/>
      </c>
      <c r="KJ43" s="1805" t="str">
        <f t="shared" si="275"/>
        <v/>
      </c>
      <c r="KK43" s="1805" t="str">
        <f t="shared" si="276"/>
        <v/>
      </c>
      <c r="KL43" s="1805" t="str">
        <f t="shared" si="277"/>
        <v/>
      </c>
      <c r="KM43" s="1805" t="str">
        <f t="shared" si="278"/>
        <v/>
      </c>
      <c r="KN43" s="1805" t="str">
        <f t="shared" si="279"/>
        <v/>
      </c>
      <c r="KO43" s="1805" t="str">
        <f t="shared" si="280"/>
        <v/>
      </c>
      <c r="KP43" s="1805" t="str">
        <f t="shared" si="281"/>
        <v/>
      </c>
      <c r="KQ43" s="1805" t="str">
        <f t="shared" si="282"/>
        <v/>
      </c>
      <c r="KR43" s="1805" t="str">
        <f t="shared" si="283"/>
        <v/>
      </c>
      <c r="KS43" s="1805" t="str">
        <f t="shared" si="284"/>
        <v/>
      </c>
      <c r="KT43" s="1805" t="str">
        <f t="shared" si="285"/>
        <v/>
      </c>
      <c r="KU43" s="1805" t="str">
        <f t="shared" si="286"/>
        <v/>
      </c>
      <c r="KV43" s="1805" t="str">
        <f t="shared" si="287"/>
        <v/>
      </c>
      <c r="KW43" s="1805" t="str">
        <f t="shared" si="288"/>
        <v/>
      </c>
      <c r="KX43" s="1805" t="str">
        <f t="shared" si="289"/>
        <v/>
      </c>
      <c r="KY43" s="1805" t="str">
        <f t="shared" si="290"/>
        <v/>
      </c>
      <c r="KZ43" s="1805" t="str">
        <f t="shared" si="291"/>
        <v/>
      </c>
      <c r="LA43" s="1805" t="str">
        <f t="shared" si="292"/>
        <v/>
      </c>
      <c r="LB43" s="1805" t="str">
        <f t="shared" si="293"/>
        <v/>
      </c>
      <c r="LC43" s="1805" t="str">
        <f t="shared" si="294"/>
        <v/>
      </c>
      <c r="LD43" s="1805" t="str">
        <f t="shared" si="295"/>
        <v/>
      </c>
      <c r="LE43" s="1805" t="str">
        <f t="shared" si="296"/>
        <v/>
      </c>
      <c r="LF43" s="1805" t="str">
        <f t="shared" si="297"/>
        <v/>
      </c>
      <c r="LG43" s="1794" t="str">
        <f t="shared" si="298"/>
        <v/>
      </c>
      <c r="LH43" s="1794" t="str">
        <f t="shared" si="299"/>
        <v/>
      </c>
      <c r="LI43" s="1794" t="str">
        <f t="shared" si="300"/>
        <v/>
      </c>
      <c r="LJ43" s="1794" t="str">
        <f t="shared" si="301"/>
        <v/>
      </c>
      <c r="LK43" s="1794"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7">
        <f t="shared" si="323"/>
        <v>0</v>
      </c>
      <c r="MG43" s="1657">
        <f t="shared" si="324"/>
        <v>0</v>
      </c>
      <c r="MH43" s="1657">
        <f t="shared" si="325"/>
        <v>0</v>
      </c>
      <c r="MI43" s="1657">
        <f t="shared" si="326"/>
        <v>0</v>
      </c>
      <c r="MJ43" s="1657">
        <f t="shared" si="327"/>
        <v>0</v>
      </c>
      <c r="MK43" s="1657">
        <f t="shared" si="333"/>
        <v>0</v>
      </c>
      <c r="ML43" s="1657">
        <f t="shared" si="334"/>
        <v>0</v>
      </c>
      <c r="MM43" s="1657">
        <f t="shared" si="335"/>
        <v>0</v>
      </c>
      <c r="MN43" s="1657">
        <f t="shared" si="336"/>
        <v>0</v>
      </c>
      <c r="MO43" s="1657">
        <f t="shared" si="337"/>
        <v>0</v>
      </c>
      <c r="MP43" s="1657">
        <f t="shared" si="328"/>
        <v>0</v>
      </c>
      <c r="MQ43" s="1657">
        <f t="shared" si="329"/>
        <v>0</v>
      </c>
      <c r="MR43" s="1657">
        <f t="shared" si="330"/>
        <v>0</v>
      </c>
      <c r="MS43" s="1657">
        <f t="shared" si="331"/>
        <v>0</v>
      </c>
      <c r="MT43" s="1657">
        <f t="shared" si="332"/>
        <v>0</v>
      </c>
      <c r="NP43" s="1630" t="s">
        <v>4336</v>
      </c>
      <c r="NQ43" s="2480">
        <v>43</v>
      </c>
    </row>
    <row r="44" spans="1:381" ht="13.9" customHeight="1">
      <c r="A44" s="86" t="str">
        <f t="shared" si="0"/>
        <v/>
      </c>
      <c r="B44" s="1060"/>
      <c r="C44" s="132"/>
      <c r="D44" s="1660"/>
      <c r="E44" s="133"/>
      <c r="F44" s="133"/>
      <c r="G44" s="133"/>
      <c r="H44" s="133"/>
      <c r="I44" s="133"/>
      <c r="J44" s="743">
        <f>IF(C44="",0,HLOOKUP(C44,'Part IV-Utility Allowances'!$I$11:$M$22,12))</f>
        <v>0</v>
      </c>
      <c r="K44" s="632"/>
      <c r="L44" s="460">
        <f t="shared" si="1"/>
        <v>0</v>
      </c>
      <c r="M44" s="460">
        <f t="shared" si="2"/>
        <v>0</v>
      </c>
      <c r="N44" s="683"/>
      <c r="O44" s="1594"/>
      <c r="P44" s="683"/>
      <c r="Q44" s="134"/>
      <c r="R44" s="726"/>
      <c r="S44" s="727"/>
      <c r="T44" s="3453"/>
      <c r="U44" s="3454"/>
      <c r="V44" s="3454"/>
      <c r="W44" s="3455"/>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5" t="str">
        <f t="shared" si="213"/>
        <v/>
      </c>
      <c r="IA44" s="1805" t="str">
        <f t="shared" si="214"/>
        <v/>
      </c>
      <c r="IB44" s="1805" t="str">
        <f t="shared" si="215"/>
        <v/>
      </c>
      <c r="IC44" s="1805" t="str">
        <f t="shared" si="216"/>
        <v/>
      </c>
      <c r="ID44" s="1805" t="str">
        <f t="shared" si="217"/>
        <v/>
      </c>
      <c r="IE44" s="1805" t="str">
        <f t="shared" si="218"/>
        <v/>
      </c>
      <c r="IF44" s="1805" t="str">
        <f t="shared" si="219"/>
        <v/>
      </c>
      <c r="IG44" s="1805" t="str">
        <f t="shared" si="220"/>
        <v/>
      </c>
      <c r="IH44" s="1805" t="str">
        <f t="shared" si="221"/>
        <v/>
      </c>
      <c r="II44" s="1805" t="str">
        <f t="shared" si="222"/>
        <v/>
      </c>
      <c r="IJ44" s="1805" t="str">
        <f t="shared" si="223"/>
        <v/>
      </c>
      <c r="IK44" s="1805" t="str">
        <f t="shared" si="224"/>
        <v/>
      </c>
      <c r="IL44" s="1805" t="str">
        <f t="shared" si="225"/>
        <v/>
      </c>
      <c r="IM44" s="1805" t="str">
        <f t="shared" si="226"/>
        <v/>
      </c>
      <c r="IN44" s="1805" t="str">
        <f t="shared" si="227"/>
        <v/>
      </c>
      <c r="IO44" s="1805" t="str">
        <f t="shared" si="228"/>
        <v/>
      </c>
      <c r="IP44" s="1805" t="str">
        <f t="shared" si="229"/>
        <v/>
      </c>
      <c r="IQ44" s="1805" t="str">
        <f t="shared" si="230"/>
        <v/>
      </c>
      <c r="IR44" s="1805" t="str">
        <f t="shared" si="231"/>
        <v/>
      </c>
      <c r="IS44" s="1805" t="str">
        <f t="shared" si="232"/>
        <v/>
      </c>
      <c r="IT44" s="1805" t="str">
        <f t="shared" si="233"/>
        <v/>
      </c>
      <c r="IU44" s="1805" t="str">
        <f t="shared" si="234"/>
        <v/>
      </c>
      <c r="IV44" s="1805" t="str">
        <f t="shared" si="235"/>
        <v/>
      </c>
      <c r="IW44" s="1805" t="str">
        <f t="shared" si="236"/>
        <v/>
      </c>
      <c r="IX44" s="1805" t="str">
        <f t="shared" si="237"/>
        <v/>
      </c>
      <c r="IY44" s="1805" t="str">
        <f t="shared" si="238"/>
        <v/>
      </c>
      <c r="IZ44" s="1805" t="str">
        <f t="shared" si="239"/>
        <v/>
      </c>
      <c r="JA44" s="1805" t="str">
        <f t="shared" si="240"/>
        <v/>
      </c>
      <c r="JB44" s="1805" t="str">
        <f t="shared" si="241"/>
        <v/>
      </c>
      <c r="JC44" s="1805" t="str">
        <f t="shared" si="242"/>
        <v/>
      </c>
      <c r="JD44" s="1805" t="str">
        <f t="shared" si="243"/>
        <v/>
      </c>
      <c r="JE44" s="1805" t="str">
        <f t="shared" si="244"/>
        <v/>
      </c>
      <c r="JF44" s="1805" t="str">
        <f t="shared" si="245"/>
        <v/>
      </c>
      <c r="JG44" s="1805" t="str">
        <f t="shared" si="246"/>
        <v/>
      </c>
      <c r="JH44" s="1805" t="str">
        <f t="shared" si="247"/>
        <v/>
      </c>
      <c r="JI44" s="1805" t="str">
        <f t="shared" si="248"/>
        <v/>
      </c>
      <c r="JJ44" s="1805" t="str">
        <f t="shared" si="249"/>
        <v/>
      </c>
      <c r="JK44" s="1805" t="str">
        <f t="shared" si="250"/>
        <v/>
      </c>
      <c r="JL44" s="1805" t="str">
        <f t="shared" si="251"/>
        <v/>
      </c>
      <c r="JM44" s="1805" t="str">
        <f t="shared" si="252"/>
        <v/>
      </c>
      <c r="JN44" s="1805" t="str">
        <f t="shared" si="253"/>
        <v/>
      </c>
      <c r="JO44" s="1805" t="str">
        <f t="shared" si="254"/>
        <v/>
      </c>
      <c r="JP44" s="1805" t="str">
        <f t="shared" si="255"/>
        <v/>
      </c>
      <c r="JQ44" s="1805" t="str">
        <f t="shared" si="256"/>
        <v/>
      </c>
      <c r="JR44" s="1805" t="str">
        <f t="shared" si="257"/>
        <v/>
      </c>
      <c r="JS44" s="1805" t="str">
        <f t="shared" si="258"/>
        <v/>
      </c>
      <c r="JT44" s="1805" t="str">
        <f t="shared" si="259"/>
        <v/>
      </c>
      <c r="JU44" s="1805" t="str">
        <f t="shared" si="260"/>
        <v/>
      </c>
      <c r="JV44" s="1805" t="str">
        <f t="shared" si="261"/>
        <v/>
      </c>
      <c r="JW44" s="1805" t="str">
        <f t="shared" si="262"/>
        <v/>
      </c>
      <c r="JX44" s="1805" t="str">
        <f t="shared" si="263"/>
        <v/>
      </c>
      <c r="JY44" s="1805" t="str">
        <f t="shared" si="264"/>
        <v/>
      </c>
      <c r="JZ44" s="1805" t="str">
        <f t="shared" si="265"/>
        <v/>
      </c>
      <c r="KA44" s="1805" t="str">
        <f t="shared" si="266"/>
        <v/>
      </c>
      <c r="KB44" s="1805" t="str">
        <f t="shared" si="267"/>
        <v/>
      </c>
      <c r="KC44" s="1805" t="str">
        <f t="shared" si="268"/>
        <v/>
      </c>
      <c r="KD44" s="1805" t="str">
        <f t="shared" si="269"/>
        <v/>
      </c>
      <c r="KE44" s="1805" t="str">
        <f t="shared" si="270"/>
        <v/>
      </c>
      <c r="KF44" s="1805" t="str">
        <f t="shared" si="271"/>
        <v/>
      </c>
      <c r="KG44" s="1805" t="str">
        <f t="shared" si="272"/>
        <v/>
      </c>
      <c r="KH44" s="1805" t="str">
        <f t="shared" si="273"/>
        <v/>
      </c>
      <c r="KI44" s="1805" t="str">
        <f t="shared" si="274"/>
        <v/>
      </c>
      <c r="KJ44" s="1805" t="str">
        <f t="shared" si="275"/>
        <v/>
      </c>
      <c r="KK44" s="1805" t="str">
        <f t="shared" si="276"/>
        <v/>
      </c>
      <c r="KL44" s="1805" t="str">
        <f t="shared" si="277"/>
        <v/>
      </c>
      <c r="KM44" s="1805" t="str">
        <f t="shared" si="278"/>
        <v/>
      </c>
      <c r="KN44" s="1805" t="str">
        <f t="shared" si="279"/>
        <v/>
      </c>
      <c r="KO44" s="1805" t="str">
        <f t="shared" si="280"/>
        <v/>
      </c>
      <c r="KP44" s="1805" t="str">
        <f t="shared" si="281"/>
        <v/>
      </c>
      <c r="KQ44" s="1805" t="str">
        <f t="shared" si="282"/>
        <v/>
      </c>
      <c r="KR44" s="1805" t="str">
        <f t="shared" si="283"/>
        <v/>
      </c>
      <c r="KS44" s="1805" t="str">
        <f t="shared" si="284"/>
        <v/>
      </c>
      <c r="KT44" s="1805" t="str">
        <f t="shared" si="285"/>
        <v/>
      </c>
      <c r="KU44" s="1805" t="str">
        <f t="shared" si="286"/>
        <v/>
      </c>
      <c r="KV44" s="1805" t="str">
        <f t="shared" si="287"/>
        <v/>
      </c>
      <c r="KW44" s="1805" t="str">
        <f t="shared" si="288"/>
        <v/>
      </c>
      <c r="KX44" s="1805" t="str">
        <f t="shared" si="289"/>
        <v/>
      </c>
      <c r="KY44" s="1805" t="str">
        <f t="shared" si="290"/>
        <v/>
      </c>
      <c r="KZ44" s="1805" t="str">
        <f t="shared" si="291"/>
        <v/>
      </c>
      <c r="LA44" s="1805" t="str">
        <f t="shared" si="292"/>
        <v/>
      </c>
      <c r="LB44" s="1805" t="str">
        <f t="shared" si="293"/>
        <v/>
      </c>
      <c r="LC44" s="1805" t="str">
        <f t="shared" si="294"/>
        <v/>
      </c>
      <c r="LD44" s="1805" t="str">
        <f t="shared" si="295"/>
        <v/>
      </c>
      <c r="LE44" s="1805" t="str">
        <f t="shared" si="296"/>
        <v/>
      </c>
      <c r="LF44" s="1805" t="str">
        <f t="shared" si="297"/>
        <v/>
      </c>
      <c r="LG44" s="1794" t="str">
        <f t="shared" si="298"/>
        <v/>
      </c>
      <c r="LH44" s="1794" t="str">
        <f t="shared" si="299"/>
        <v/>
      </c>
      <c r="LI44" s="1794" t="str">
        <f t="shared" si="300"/>
        <v/>
      </c>
      <c r="LJ44" s="1794" t="str">
        <f t="shared" si="301"/>
        <v/>
      </c>
      <c r="LK44" s="1794"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7">
        <f t="shared" si="323"/>
        <v>0</v>
      </c>
      <c r="MG44" s="1657">
        <f t="shared" si="324"/>
        <v>0</v>
      </c>
      <c r="MH44" s="1657">
        <f t="shared" si="325"/>
        <v>0</v>
      </c>
      <c r="MI44" s="1657">
        <f t="shared" si="326"/>
        <v>0</v>
      </c>
      <c r="MJ44" s="1657">
        <f t="shared" si="327"/>
        <v>0</v>
      </c>
      <c r="MK44" s="1657">
        <f t="shared" si="333"/>
        <v>0</v>
      </c>
      <c r="ML44" s="1657">
        <f t="shared" si="334"/>
        <v>0</v>
      </c>
      <c r="MM44" s="1657">
        <f t="shared" si="335"/>
        <v>0</v>
      </c>
      <c r="MN44" s="1657">
        <f t="shared" si="336"/>
        <v>0</v>
      </c>
      <c r="MO44" s="1657">
        <f t="shared" si="337"/>
        <v>0</v>
      </c>
      <c r="MP44" s="1657">
        <f t="shared" si="328"/>
        <v>0</v>
      </c>
      <c r="MQ44" s="1657">
        <f t="shared" si="329"/>
        <v>0</v>
      </c>
      <c r="MR44" s="1657">
        <f t="shared" si="330"/>
        <v>0</v>
      </c>
      <c r="MS44" s="1657">
        <f t="shared" si="331"/>
        <v>0</v>
      </c>
      <c r="MT44" s="1657">
        <f t="shared" si="332"/>
        <v>0</v>
      </c>
      <c r="NP44" s="1630" t="s">
        <v>4337</v>
      </c>
      <c r="NQ44" s="2478">
        <v>44</v>
      </c>
    </row>
    <row r="45" spans="1:381" ht="13.9" customHeight="1">
      <c r="A45" s="86" t="str">
        <f t="shared" si="0"/>
        <v/>
      </c>
      <c r="B45" s="1060"/>
      <c r="C45" s="132"/>
      <c r="D45" s="1660"/>
      <c r="E45" s="133"/>
      <c r="F45" s="133"/>
      <c r="G45" s="133"/>
      <c r="H45" s="133"/>
      <c r="I45" s="133"/>
      <c r="J45" s="743">
        <f>IF(C45="",0,HLOOKUP(C45,'Part IV-Utility Allowances'!$I$11:$M$22,12))</f>
        <v>0</v>
      </c>
      <c r="K45" s="632"/>
      <c r="L45" s="460">
        <f t="shared" si="1"/>
        <v>0</v>
      </c>
      <c r="M45" s="460">
        <f t="shared" si="2"/>
        <v>0</v>
      </c>
      <c r="N45" s="683"/>
      <c r="O45" s="1594"/>
      <c r="P45" s="683"/>
      <c r="Q45" s="134"/>
      <c r="R45" s="726"/>
      <c r="S45" s="727"/>
      <c r="T45" s="3453"/>
      <c r="U45" s="3454"/>
      <c r="V45" s="3454"/>
      <c r="W45" s="3455"/>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5" t="str">
        <f t="shared" si="213"/>
        <v/>
      </c>
      <c r="IA45" s="1805" t="str">
        <f t="shared" si="214"/>
        <v/>
      </c>
      <c r="IB45" s="1805" t="str">
        <f t="shared" si="215"/>
        <v/>
      </c>
      <c r="IC45" s="1805" t="str">
        <f t="shared" si="216"/>
        <v/>
      </c>
      <c r="ID45" s="1805" t="str">
        <f t="shared" si="217"/>
        <v/>
      </c>
      <c r="IE45" s="1805" t="str">
        <f t="shared" si="218"/>
        <v/>
      </c>
      <c r="IF45" s="1805" t="str">
        <f t="shared" si="219"/>
        <v/>
      </c>
      <c r="IG45" s="1805" t="str">
        <f t="shared" si="220"/>
        <v/>
      </c>
      <c r="IH45" s="1805" t="str">
        <f t="shared" si="221"/>
        <v/>
      </c>
      <c r="II45" s="1805" t="str">
        <f t="shared" si="222"/>
        <v/>
      </c>
      <c r="IJ45" s="1805" t="str">
        <f t="shared" si="223"/>
        <v/>
      </c>
      <c r="IK45" s="1805" t="str">
        <f t="shared" si="224"/>
        <v/>
      </c>
      <c r="IL45" s="1805" t="str">
        <f t="shared" si="225"/>
        <v/>
      </c>
      <c r="IM45" s="1805" t="str">
        <f t="shared" si="226"/>
        <v/>
      </c>
      <c r="IN45" s="1805" t="str">
        <f t="shared" si="227"/>
        <v/>
      </c>
      <c r="IO45" s="1805" t="str">
        <f t="shared" si="228"/>
        <v/>
      </c>
      <c r="IP45" s="1805" t="str">
        <f t="shared" si="229"/>
        <v/>
      </c>
      <c r="IQ45" s="1805" t="str">
        <f t="shared" si="230"/>
        <v/>
      </c>
      <c r="IR45" s="1805" t="str">
        <f t="shared" si="231"/>
        <v/>
      </c>
      <c r="IS45" s="1805" t="str">
        <f t="shared" si="232"/>
        <v/>
      </c>
      <c r="IT45" s="1805" t="str">
        <f t="shared" si="233"/>
        <v/>
      </c>
      <c r="IU45" s="1805" t="str">
        <f t="shared" si="234"/>
        <v/>
      </c>
      <c r="IV45" s="1805" t="str">
        <f t="shared" si="235"/>
        <v/>
      </c>
      <c r="IW45" s="1805" t="str">
        <f t="shared" si="236"/>
        <v/>
      </c>
      <c r="IX45" s="1805" t="str">
        <f t="shared" si="237"/>
        <v/>
      </c>
      <c r="IY45" s="1805" t="str">
        <f t="shared" si="238"/>
        <v/>
      </c>
      <c r="IZ45" s="1805" t="str">
        <f t="shared" si="239"/>
        <v/>
      </c>
      <c r="JA45" s="1805" t="str">
        <f t="shared" si="240"/>
        <v/>
      </c>
      <c r="JB45" s="1805" t="str">
        <f t="shared" si="241"/>
        <v/>
      </c>
      <c r="JC45" s="1805" t="str">
        <f t="shared" si="242"/>
        <v/>
      </c>
      <c r="JD45" s="1805" t="str">
        <f t="shared" si="243"/>
        <v/>
      </c>
      <c r="JE45" s="1805" t="str">
        <f t="shared" si="244"/>
        <v/>
      </c>
      <c r="JF45" s="1805" t="str">
        <f t="shared" si="245"/>
        <v/>
      </c>
      <c r="JG45" s="1805" t="str">
        <f t="shared" si="246"/>
        <v/>
      </c>
      <c r="JH45" s="1805" t="str">
        <f t="shared" si="247"/>
        <v/>
      </c>
      <c r="JI45" s="1805" t="str">
        <f t="shared" si="248"/>
        <v/>
      </c>
      <c r="JJ45" s="1805" t="str">
        <f t="shared" si="249"/>
        <v/>
      </c>
      <c r="JK45" s="1805" t="str">
        <f t="shared" si="250"/>
        <v/>
      </c>
      <c r="JL45" s="1805" t="str">
        <f t="shared" si="251"/>
        <v/>
      </c>
      <c r="JM45" s="1805" t="str">
        <f t="shared" si="252"/>
        <v/>
      </c>
      <c r="JN45" s="1805" t="str">
        <f t="shared" si="253"/>
        <v/>
      </c>
      <c r="JO45" s="1805" t="str">
        <f t="shared" si="254"/>
        <v/>
      </c>
      <c r="JP45" s="1805" t="str">
        <f t="shared" si="255"/>
        <v/>
      </c>
      <c r="JQ45" s="1805" t="str">
        <f t="shared" si="256"/>
        <v/>
      </c>
      <c r="JR45" s="1805" t="str">
        <f t="shared" si="257"/>
        <v/>
      </c>
      <c r="JS45" s="1805" t="str">
        <f t="shared" si="258"/>
        <v/>
      </c>
      <c r="JT45" s="1805" t="str">
        <f t="shared" si="259"/>
        <v/>
      </c>
      <c r="JU45" s="1805" t="str">
        <f t="shared" si="260"/>
        <v/>
      </c>
      <c r="JV45" s="1805" t="str">
        <f t="shared" si="261"/>
        <v/>
      </c>
      <c r="JW45" s="1805" t="str">
        <f t="shared" si="262"/>
        <v/>
      </c>
      <c r="JX45" s="1805" t="str">
        <f t="shared" si="263"/>
        <v/>
      </c>
      <c r="JY45" s="1805" t="str">
        <f t="shared" si="264"/>
        <v/>
      </c>
      <c r="JZ45" s="1805" t="str">
        <f t="shared" si="265"/>
        <v/>
      </c>
      <c r="KA45" s="1805" t="str">
        <f t="shared" si="266"/>
        <v/>
      </c>
      <c r="KB45" s="1805" t="str">
        <f t="shared" si="267"/>
        <v/>
      </c>
      <c r="KC45" s="1805" t="str">
        <f t="shared" si="268"/>
        <v/>
      </c>
      <c r="KD45" s="1805" t="str">
        <f t="shared" si="269"/>
        <v/>
      </c>
      <c r="KE45" s="1805" t="str">
        <f t="shared" si="270"/>
        <v/>
      </c>
      <c r="KF45" s="1805" t="str">
        <f t="shared" si="271"/>
        <v/>
      </c>
      <c r="KG45" s="1805" t="str">
        <f t="shared" si="272"/>
        <v/>
      </c>
      <c r="KH45" s="1805" t="str">
        <f t="shared" si="273"/>
        <v/>
      </c>
      <c r="KI45" s="1805" t="str">
        <f t="shared" si="274"/>
        <v/>
      </c>
      <c r="KJ45" s="1805" t="str">
        <f t="shared" si="275"/>
        <v/>
      </c>
      <c r="KK45" s="1805" t="str">
        <f t="shared" si="276"/>
        <v/>
      </c>
      <c r="KL45" s="1805" t="str">
        <f t="shared" si="277"/>
        <v/>
      </c>
      <c r="KM45" s="1805" t="str">
        <f t="shared" si="278"/>
        <v/>
      </c>
      <c r="KN45" s="1805" t="str">
        <f t="shared" si="279"/>
        <v/>
      </c>
      <c r="KO45" s="1805" t="str">
        <f t="shared" si="280"/>
        <v/>
      </c>
      <c r="KP45" s="1805" t="str">
        <f t="shared" si="281"/>
        <v/>
      </c>
      <c r="KQ45" s="1805" t="str">
        <f t="shared" si="282"/>
        <v/>
      </c>
      <c r="KR45" s="1805" t="str">
        <f t="shared" si="283"/>
        <v/>
      </c>
      <c r="KS45" s="1805" t="str">
        <f t="shared" si="284"/>
        <v/>
      </c>
      <c r="KT45" s="1805" t="str">
        <f t="shared" si="285"/>
        <v/>
      </c>
      <c r="KU45" s="1805" t="str">
        <f t="shared" si="286"/>
        <v/>
      </c>
      <c r="KV45" s="1805" t="str">
        <f t="shared" si="287"/>
        <v/>
      </c>
      <c r="KW45" s="1805" t="str">
        <f t="shared" si="288"/>
        <v/>
      </c>
      <c r="KX45" s="1805" t="str">
        <f t="shared" si="289"/>
        <v/>
      </c>
      <c r="KY45" s="1805" t="str">
        <f t="shared" si="290"/>
        <v/>
      </c>
      <c r="KZ45" s="1805" t="str">
        <f t="shared" si="291"/>
        <v/>
      </c>
      <c r="LA45" s="1805" t="str">
        <f t="shared" si="292"/>
        <v/>
      </c>
      <c r="LB45" s="1805" t="str">
        <f t="shared" si="293"/>
        <v/>
      </c>
      <c r="LC45" s="1805" t="str">
        <f t="shared" si="294"/>
        <v/>
      </c>
      <c r="LD45" s="1805" t="str">
        <f t="shared" si="295"/>
        <v/>
      </c>
      <c r="LE45" s="1805" t="str">
        <f t="shared" si="296"/>
        <v/>
      </c>
      <c r="LF45" s="1805" t="str">
        <f t="shared" si="297"/>
        <v/>
      </c>
      <c r="LG45" s="1794" t="str">
        <f t="shared" si="298"/>
        <v/>
      </c>
      <c r="LH45" s="1794" t="str">
        <f t="shared" si="299"/>
        <v/>
      </c>
      <c r="LI45" s="1794" t="str">
        <f t="shared" si="300"/>
        <v/>
      </c>
      <c r="LJ45" s="1794" t="str">
        <f t="shared" si="301"/>
        <v/>
      </c>
      <c r="LK45" s="1794"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7">
        <f t="shared" si="323"/>
        <v>0</v>
      </c>
      <c r="MG45" s="1657">
        <f t="shared" si="324"/>
        <v>0</v>
      </c>
      <c r="MH45" s="1657">
        <f t="shared" si="325"/>
        <v>0</v>
      </c>
      <c r="MI45" s="1657">
        <f t="shared" si="326"/>
        <v>0</v>
      </c>
      <c r="MJ45" s="1657">
        <f t="shared" si="327"/>
        <v>0</v>
      </c>
      <c r="MK45" s="1657">
        <f t="shared" si="333"/>
        <v>0</v>
      </c>
      <c r="ML45" s="1657">
        <f t="shared" si="334"/>
        <v>0</v>
      </c>
      <c r="MM45" s="1657">
        <f t="shared" si="335"/>
        <v>0</v>
      </c>
      <c r="MN45" s="1657">
        <f t="shared" si="336"/>
        <v>0</v>
      </c>
      <c r="MO45" s="1657">
        <f t="shared" si="337"/>
        <v>0</v>
      </c>
      <c r="MP45" s="1657">
        <f t="shared" si="328"/>
        <v>0</v>
      </c>
      <c r="MQ45" s="1657">
        <f t="shared" si="329"/>
        <v>0</v>
      </c>
      <c r="MR45" s="1657">
        <f t="shared" si="330"/>
        <v>0</v>
      </c>
      <c r="MS45" s="1657">
        <f t="shared" si="331"/>
        <v>0</v>
      </c>
      <c r="MT45" s="1657">
        <f t="shared" si="332"/>
        <v>0</v>
      </c>
      <c r="NP45" s="1630" t="s">
        <v>4338</v>
      </c>
      <c r="NQ45" s="2480">
        <v>45</v>
      </c>
    </row>
    <row r="46" spans="1:381" ht="13.9" customHeight="1">
      <c r="A46" s="86" t="str">
        <f t="shared" si="0"/>
        <v/>
      </c>
      <c r="B46" s="1060"/>
      <c r="C46" s="132"/>
      <c r="D46" s="1660"/>
      <c r="E46" s="133"/>
      <c r="F46" s="133"/>
      <c r="G46" s="133"/>
      <c r="H46" s="133"/>
      <c r="I46" s="133"/>
      <c r="J46" s="743">
        <f>IF(C46="",0,HLOOKUP(C46,'Part IV-Utility Allowances'!$I$11:$M$22,12))</f>
        <v>0</v>
      </c>
      <c r="K46" s="632"/>
      <c r="L46" s="460">
        <f t="shared" si="1"/>
        <v>0</v>
      </c>
      <c r="M46" s="460">
        <f t="shared" si="2"/>
        <v>0</v>
      </c>
      <c r="N46" s="683"/>
      <c r="O46" s="1594"/>
      <c r="P46" s="683"/>
      <c r="Q46" s="134"/>
      <c r="R46" s="726"/>
      <c r="S46" s="727"/>
      <c r="T46" s="3453"/>
      <c r="U46" s="3454"/>
      <c r="V46" s="3454"/>
      <c r="W46" s="3455"/>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5" t="str">
        <f t="shared" si="213"/>
        <v/>
      </c>
      <c r="IA46" s="1805" t="str">
        <f t="shared" si="214"/>
        <v/>
      </c>
      <c r="IB46" s="1805" t="str">
        <f t="shared" si="215"/>
        <v/>
      </c>
      <c r="IC46" s="1805" t="str">
        <f t="shared" si="216"/>
        <v/>
      </c>
      <c r="ID46" s="1805" t="str">
        <f t="shared" si="217"/>
        <v/>
      </c>
      <c r="IE46" s="1805" t="str">
        <f t="shared" si="218"/>
        <v/>
      </c>
      <c r="IF46" s="1805" t="str">
        <f t="shared" si="219"/>
        <v/>
      </c>
      <c r="IG46" s="1805" t="str">
        <f t="shared" si="220"/>
        <v/>
      </c>
      <c r="IH46" s="1805" t="str">
        <f t="shared" si="221"/>
        <v/>
      </c>
      <c r="II46" s="1805" t="str">
        <f t="shared" si="222"/>
        <v/>
      </c>
      <c r="IJ46" s="1805" t="str">
        <f t="shared" si="223"/>
        <v/>
      </c>
      <c r="IK46" s="1805" t="str">
        <f t="shared" si="224"/>
        <v/>
      </c>
      <c r="IL46" s="1805" t="str">
        <f t="shared" si="225"/>
        <v/>
      </c>
      <c r="IM46" s="1805" t="str">
        <f t="shared" si="226"/>
        <v/>
      </c>
      <c r="IN46" s="1805" t="str">
        <f t="shared" si="227"/>
        <v/>
      </c>
      <c r="IO46" s="1805" t="str">
        <f t="shared" si="228"/>
        <v/>
      </c>
      <c r="IP46" s="1805" t="str">
        <f t="shared" si="229"/>
        <v/>
      </c>
      <c r="IQ46" s="1805" t="str">
        <f t="shared" si="230"/>
        <v/>
      </c>
      <c r="IR46" s="1805" t="str">
        <f t="shared" si="231"/>
        <v/>
      </c>
      <c r="IS46" s="1805" t="str">
        <f t="shared" si="232"/>
        <v/>
      </c>
      <c r="IT46" s="1805" t="str">
        <f t="shared" si="233"/>
        <v/>
      </c>
      <c r="IU46" s="1805" t="str">
        <f t="shared" si="234"/>
        <v/>
      </c>
      <c r="IV46" s="1805" t="str">
        <f t="shared" si="235"/>
        <v/>
      </c>
      <c r="IW46" s="1805" t="str">
        <f t="shared" si="236"/>
        <v/>
      </c>
      <c r="IX46" s="1805" t="str">
        <f t="shared" si="237"/>
        <v/>
      </c>
      <c r="IY46" s="1805" t="str">
        <f t="shared" si="238"/>
        <v/>
      </c>
      <c r="IZ46" s="1805" t="str">
        <f t="shared" si="239"/>
        <v/>
      </c>
      <c r="JA46" s="1805" t="str">
        <f t="shared" si="240"/>
        <v/>
      </c>
      <c r="JB46" s="1805" t="str">
        <f t="shared" si="241"/>
        <v/>
      </c>
      <c r="JC46" s="1805" t="str">
        <f t="shared" si="242"/>
        <v/>
      </c>
      <c r="JD46" s="1805" t="str">
        <f t="shared" si="243"/>
        <v/>
      </c>
      <c r="JE46" s="1805" t="str">
        <f t="shared" si="244"/>
        <v/>
      </c>
      <c r="JF46" s="1805" t="str">
        <f t="shared" si="245"/>
        <v/>
      </c>
      <c r="JG46" s="1805" t="str">
        <f t="shared" si="246"/>
        <v/>
      </c>
      <c r="JH46" s="1805" t="str">
        <f t="shared" si="247"/>
        <v/>
      </c>
      <c r="JI46" s="1805" t="str">
        <f t="shared" si="248"/>
        <v/>
      </c>
      <c r="JJ46" s="1805" t="str">
        <f t="shared" si="249"/>
        <v/>
      </c>
      <c r="JK46" s="1805" t="str">
        <f t="shared" si="250"/>
        <v/>
      </c>
      <c r="JL46" s="1805" t="str">
        <f t="shared" si="251"/>
        <v/>
      </c>
      <c r="JM46" s="1805" t="str">
        <f t="shared" si="252"/>
        <v/>
      </c>
      <c r="JN46" s="1805" t="str">
        <f t="shared" si="253"/>
        <v/>
      </c>
      <c r="JO46" s="1805" t="str">
        <f t="shared" si="254"/>
        <v/>
      </c>
      <c r="JP46" s="1805" t="str">
        <f t="shared" si="255"/>
        <v/>
      </c>
      <c r="JQ46" s="1805" t="str">
        <f t="shared" si="256"/>
        <v/>
      </c>
      <c r="JR46" s="1805" t="str">
        <f t="shared" si="257"/>
        <v/>
      </c>
      <c r="JS46" s="1805" t="str">
        <f t="shared" si="258"/>
        <v/>
      </c>
      <c r="JT46" s="1805" t="str">
        <f t="shared" si="259"/>
        <v/>
      </c>
      <c r="JU46" s="1805" t="str">
        <f t="shared" si="260"/>
        <v/>
      </c>
      <c r="JV46" s="1805" t="str">
        <f t="shared" si="261"/>
        <v/>
      </c>
      <c r="JW46" s="1805" t="str">
        <f t="shared" si="262"/>
        <v/>
      </c>
      <c r="JX46" s="1805" t="str">
        <f t="shared" si="263"/>
        <v/>
      </c>
      <c r="JY46" s="1805" t="str">
        <f t="shared" si="264"/>
        <v/>
      </c>
      <c r="JZ46" s="1805" t="str">
        <f t="shared" si="265"/>
        <v/>
      </c>
      <c r="KA46" s="1805" t="str">
        <f t="shared" si="266"/>
        <v/>
      </c>
      <c r="KB46" s="1805" t="str">
        <f t="shared" si="267"/>
        <v/>
      </c>
      <c r="KC46" s="1805" t="str">
        <f t="shared" si="268"/>
        <v/>
      </c>
      <c r="KD46" s="1805" t="str">
        <f t="shared" si="269"/>
        <v/>
      </c>
      <c r="KE46" s="1805" t="str">
        <f t="shared" si="270"/>
        <v/>
      </c>
      <c r="KF46" s="1805" t="str">
        <f t="shared" si="271"/>
        <v/>
      </c>
      <c r="KG46" s="1805" t="str">
        <f t="shared" si="272"/>
        <v/>
      </c>
      <c r="KH46" s="1805" t="str">
        <f t="shared" si="273"/>
        <v/>
      </c>
      <c r="KI46" s="1805" t="str">
        <f t="shared" si="274"/>
        <v/>
      </c>
      <c r="KJ46" s="1805" t="str">
        <f t="shared" si="275"/>
        <v/>
      </c>
      <c r="KK46" s="1805" t="str">
        <f t="shared" si="276"/>
        <v/>
      </c>
      <c r="KL46" s="1805" t="str">
        <f t="shared" si="277"/>
        <v/>
      </c>
      <c r="KM46" s="1805" t="str">
        <f t="shared" si="278"/>
        <v/>
      </c>
      <c r="KN46" s="1805" t="str">
        <f t="shared" si="279"/>
        <v/>
      </c>
      <c r="KO46" s="1805" t="str">
        <f t="shared" si="280"/>
        <v/>
      </c>
      <c r="KP46" s="1805" t="str">
        <f t="shared" si="281"/>
        <v/>
      </c>
      <c r="KQ46" s="1805" t="str">
        <f t="shared" si="282"/>
        <v/>
      </c>
      <c r="KR46" s="1805" t="str">
        <f t="shared" si="283"/>
        <v/>
      </c>
      <c r="KS46" s="1805" t="str">
        <f t="shared" si="284"/>
        <v/>
      </c>
      <c r="KT46" s="1805" t="str">
        <f t="shared" si="285"/>
        <v/>
      </c>
      <c r="KU46" s="1805" t="str">
        <f t="shared" si="286"/>
        <v/>
      </c>
      <c r="KV46" s="1805" t="str">
        <f t="shared" si="287"/>
        <v/>
      </c>
      <c r="KW46" s="1805" t="str">
        <f t="shared" si="288"/>
        <v/>
      </c>
      <c r="KX46" s="1805" t="str">
        <f t="shared" si="289"/>
        <v/>
      </c>
      <c r="KY46" s="1805" t="str">
        <f t="shared" si="290"/>
        <v/>
      </c>
      <c r="KZ46" s="1805" t="str">
        <f t="shared" si="291"/>
        <v/>
      </c>
      <c r="LA46" s="1805" t="str">
        <f t="shared" si="292"/>
        <v/>
      </c>
      <c r="LB46" s="1805" t="str">
        <f t="shared" si="293"/>
        <v/>
      </c>
      <c r="LC46" s="1805" t="str">
        <f t="shared" si="294"/>
        <v/>
      </c>
      <c r="LD46" s="1805" t="str">
        <f t="shared" si="295"/>
        <v/>
      </c>
      <c r="LE46" s="1805" t="str">
        <f t="shared" si="296"/>
        <v/>
      </c>
      <c r="LF46" s="1805" t="str">
        <f t="shared" si="297"/>
        <v/>
      </c>
      <c r="LG46" s="1794" t="str">
        <f t="shared" si="298"/>
        <v/>
      </c>
      <c r="LH46" s="1794" t="str">
        <f t="shared" si="299"/>
        <v/>
      </c>
      <c r="LI46" s="1794" t="str">
        <f t="shared" si="300"/>
        <v/>
      </c>
      <c r="LJ46" s="1794" t="str">
        <f t="shared" si="301"/>
        <v/>
      </c>
      <c r="LK46" s="1794"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7">
        <f t="shared" si="323"/>
        <v>0</v>
      </c>
      <c r="MG46" s="1657">
        <f t="shared" si="324"/>
        <v>0</v>
      </c>
      <c r="MH46" s="1657">
        <f t="shared" si="325"/>
        <v>0</v>
      </c>
      <c r="MI46" s="1657">
        <f t="shared" si="326"/>
        <v>0</v>
      </c>
      <c r="MJ46" s="1657">
        <f t="shared" si="327"/>
        <v>0</v>
      </c>
      <c r="MK46" s="1657">
        <f t="shared" si="333"/>
        <v>0</v>
      </c>
      <c r="ML46" s="1657">
        <f t="shared" si="334"/>
        <v>0</v>
      </c>
      <c r="MM46" s="1657">
        <f t="shared" si="335"/>
        <v>0</v>
      </c>
      <c r="MN46" s="1657">
        <f t="shared" si="336"/>
        <v>0</v>
      </c>
      <c r="MO46" s="1657">
        <f t="shared" si="337"/>
        <v>0</v>
      </c>
      <c r="MP46" s="1657">
        <f t="shared" si="328"/>
        <v>0</v>
      </c>
      <c r="MQ46" s="1657">
        <f t="shared" si="329"/>
        <v>0</v>
      </c>
      <c r="MR46" s="1657">
        <f t="shared" si="330"/>
        <v>0</v>
      </c>
      <c r="MS46" s="1657">
        <f t="shared" si="331"/>
        <v>0</v>
      </c>
      <c r="MT46" s="1657">
        <f t="shared" si="332"/>
        <v>0</v>
      </c>
      <c r="NP46" s="1630" t="s">
        <v>4339</v>
      </c>
      <c r="NQ46" s="2480">
        <v>46</v>
      </c>
    </row>
    <row r="47" spans="1:381" ht="13.9" customHeight="1">
      <c r="A47" s="86" t="str">
        <f t="shared" si="0"/>
        <v/>
      </c>
      <c r="B47" s="1060"/>
      <c r="C47" s="132"/>
      <c r="D47" s="1660"/>
      <c r="E47" s="133"/>
      <c r="F47" s="133"/>
      <c r="G47" s="133"/>
      <c r="H47" s="133"/>
      <c r="I47" s="133"/>
      <c r="J47" s="743">
        <f>IF(C47="",0,HLOOKUP(C47,'Part IV-Utility Allowances'!$I$11:$M$22,12))</f>
        <v>0</v>
      </c>
      <c r="K47" s="632"/>
      <c r="L47" s="460">
        <f t="shared" si="1"/>
        <v>0</v>
      </c>
      <c r="M47" s="460">
        <f t="shared" si="2"/>
        <v>0</v>
      </c>
      <c r="N47" s="683"/>
      <c r="O47" s="1594"/>
      <c r="P47" s="683"/>
      <c r="Q47" s="134"/>
      <c r="R47" s="726"/>
      <c r="S47" s="727"/>
      <c r="T47" s="3453"/>
      <c r="U47" s="3454"/>
      <c r="V47" s="3454"/>
      <c r="W47" s="3455"/>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5" t="str">
        <f t="shared" si="213"/>
        <v/>
      </c>
      <c r="IA47" s="1805" t="str">
        <f t="shared" si="214"/>
        <v/>
      </c>
      <c r="IB47" s="1805" t="str">
        <f t="shared" si="215"/>
        <v/>
      </c>
      <c r="IC47" s="1805" t="str">
        <f t="shared" si="216"/>
        <v/>
      </c>
      <c r="ID47" s="1805" t="str">
        <f t="shared" si="217"/>
        <v/>
      </c>
      <c r="IE47" s="1805" t="str">
        <f t="shared" si="218"/>
        <v/>
      </c>
      <c r="IF47" s="1805" t="str">
        <f t="shared" si="219"/>
        <v/>
      </c>
      <c r="IG47" s="1805" t="str">
        <f t="shared" si="220"/>
        <v/>
      </c>
      <c r="IH47" s="1805" t="str">
        <f t="shared" si="221"/>
        <v/>
      </c>
      <c r="II47" s="1805" t="str">
        <f t="shared" si="222"/>
        <v/>
      </c>
      <c r="IJ47" s="1805" t="str">
        <f t="shared" si="223"/>
        <v/>
      </c>
      <c r="IK47" s="1805" t="str">
        <f t="shared" si="224"/>
        <v/>
      </c>
      <c r="IL47" s="1805" t="str">
        <f t="shared" si="225"/>
        <v/>
      </c>
      <c r="IM47" s="1805" t="str">
        <f t="shared" si="226"/>
        <v/>
      </c>
      <c r="IN47" s="1805" t="str">
        <f t="shared" si="227"/>
        <v/>
      </c>
      <c r="IO47" s="1805" t="str">
        <f t="shared" si="228"/>
        <v/>
      </c>
      <c r="IP47" s="1805" t="str">
        <f t="shared" si="229"/>
        <v/>
      </c>
      <c r="IQ47" s="1805" t="str">
        <f t="shared" si="230"/>
        <v/>
      </c>
      <c r="IR47" s="1805" t="str">
        <f t="shared" si="231"/>
        <v/>
      </c>
      <c r="IS47" s="1805" t="str">
        <f t="shared" si="232"/>
        <v/>
      </c>
      <c r="IT47" s="1805" t="str">
        <f t="shared" si="233"/>
        <v/>
      </c>
      <c r="IU47" s="1805" t="str">
        <f t="shared" si="234"/>
        <v/>
      </c>
      <c r="IV47" s="1805" t="str">
        <f t="shared" si="235"/>
        <v/>
      </c>
      <c r="IW47" s="1805" t="str">
        <f t="shared" si="236"/>
        <v/>
      </c>
      <c r="IX47" s="1805" t="str">
        <f t="shared" si="237"/>
        <v/>
      </c>
      <c r="IY47" s="1805" t="str">
        <f t="shared" si="238"/>
        <v/>
      </c>
      <c r="IZ47" s="1805" t="str">
        <f t="shared" si="239"/>
        <v/>
      </c>
      <c r="JA47" s="1805" t="str">
        <f t="shared" si="240"/>
        <v/>
      </c>
      <c r="JB47" s="1805" t="str">
        <f t="shared" si="241"/>
        <v/>
      </c>
      <c r="JC47" s="1805" t="str">
        <f t="shared" si="242"/>
        <v/>
      </c>
      <c r="JD47" s="1805" t="str">
        <f t="shared" si="243"/>
        <v/>
      </c>
      <c r="JE47" s="1805" t="str">
        <f t="shared" si="244"/>
        <v/>
      </c>
      <c r="JF47" s="1805" t="str">
        <f t="shared" si="245"/>
        <v/>
      </c>
      <c r="JG47" s="1805" t="str">
        <f t="shared" si="246"/>
        <v/>
      </c>
      <c r="JH47" s="1805" t="str">
        <f t="shared" si="247"/>
        <v/>
      </c>
      <c r="JI47" s="1805" t="str">
        <f t="shared" si="248"/>
        <v/>
      </c>
      <c r="JJ47" s="1805" t="str">
        <f t="shared" si="249"/>
        <v/>
      </c>
      <c r="JK47" s="1805" t="str">
        <f t="shared" si="250"/>
        <v/>
      </c>
      <c r="JL47" s="1805" t="str">
        <f t="shared" si="251"/>
        <v/>
      </c>
      <c r="JM47" s="1805" t="str">
        <f t="shared" si="252"/>
        <v/>
      </c>
      <c r="JN47" s="1805" t="str">
        <f t="shared" si="253"/>
        <v/>
      </c>
      <c r="JO47" s="1805" t="str">
        <f t="shared" si="254"/>
        <v/>
      </c>
      <c r="JP47" s="1805" t="str">
        <f t="shared" si="255"/>
        <v/>
      </c>
      <c r="JQ47" s="1805" t="str">
        <f t="shared" si="256"/>
        <v/>
      </c>
      <c r="JR47" s="1805" t="str">
        <f t="shared" si="257"/>
        <v/>
      </c>
      <c r="JS47" s="1805" t="str">
        <f t="shared" si="258"/>
        <v/>
      </c>
      <c r="JT47" s="1805" t="str">
        <f t="shared" si="259"/>
        <v/>
      </c>
      <c r="JU47" s="1805" t="str">
        <f t="shared" si="260"/>
        <v/>
      </c>
      <c r="JV47" s="1805" t="str">
        <f t="shared" si="261"/>
        <v/>
      </c>
      <c r="JW47" s="1805" t="str">
        <f t="shared" si="262"/>
        <v/>
      </c>
      <c r="JX47" s="1805" t="str">
        <f t="shared" si="263"/>
        <v/>
      </c>
      <c r="JY47" s="1805" t="str">
        <f t="shared" si="264"/>
        <v/>
      </c>
      <c r="JZ47" s="1805" t="str">
        <f t="shared" si="265"/>
        <v/>
      </c>
      <c r="KA47" s="1805" t="str">
        <f t="shared" si="266"/>
        <v/>
      </c>
      <c r="KB47" s="1805" t="str">
        <f t="shared" si="267"/>
        <v/>
      </c>
      <c r="KC47" s="1805" t="str">
        <f t="shared" si="268"/>
        <v/>
      </c>
      <c r="KD47" s="1805" t="str">
        <f t="shared" si="269"/>
        <v/>
      </c>
      <c r="KE47" s="1805" t="str">
        <f t="shared" si="270"/>
        <v/>
      </c>
      <c r="KF47" s="1805" t="str">
        <f t="shared" si="271"/>
        <v/>
      </c>
      <c r="KG47" s="1805" t="str">
        <f t="shared" si="272"/>
        <v/>
      </c>
      <c r="KH47" s="1805" t="str">
        <f t="shared" si="273"/>
        <v/>
      </c>
      <c r="KI47" s="1805" t="str">
        <f t="shared" si="274"/>
        <v/>
      </c>
      <c r="KJ47" s="1805" t="str">
        <f t="shared" si="275"/>
        <v/>
      </c>
      <c r="KK47" s="1805" t="str">
        <f t="shared" si="276"/>
        <v/>
      </c>
      <c r="KL47" s="1805" t="str">
        <f t="shared" si="277"/>
        <v/>
      </c>
      <c r="KM47" s="1805" t="str">
        <f t="shared" si="278"/>
        <v/>
      </c>
      <c r="KN47" s="1805" t="str">
        <f t="shared" si="279"/>
        <v/>
      </c>
      <c r="KO47" s="1805" t="str">
        <f t="shared" si="280"/>
        <v/>
      </c>
      <c r="KP47" s="1805" t="str">
        <f t="shared" si="281"/>
        <v/>
      </c>
      <c r="KQ47" s="1805" t="str">
        <f t="shared" si="282"/>
        <v/>
      </c>
      <c r="KR47" s="1805" t="str">
        <f t="shared" si="283"/>
        <v/>
      </c>
      <c r="KS47" s="1805" t="str">
        <f t="shared" si="284"/>
        <v/>
      </c>
      <c r="KT47" s="1805" t="str">
        <f t="shared" si="285"/>
        <v/>
      </c>
      <c r="KU47" s="1805" t="str">
        <f t="shared" si="286"/>
        <v/>
      </c>
      <c r="KV47" s="1805" t="str">
        <f t="shared" si="287"/>
        <v/>
      </c>
      <c r="KW47" s="1805" t="str">
        <f t="shared" si="288"/>
        <v/>
      </c>
      <c r="KX47" s="1805" t="str">
        <f t="shared" si="289"/>
        <v/>
      </c>
      <c r="KY47" s="1805" t="str">
        <f t="shared" si="290"/>
        <v/>
      </c>
      <c r="KZ47" s="1805" t="str">
        <f t="shared" si="291"/>
        <v/>
      </c>
      <c r="LA47" s="1805" t="str">
        <f t="shared" si="292"/>
        <v/>
      </c>
      <c r="LB47" s="1805" t="str">
        <f t="shared" si="293"/>
        <v/>
      </c>
      <c r="LC47" s="1805" t="str">
        <f t="shared" si="294"/>
        <v/>
      </c>
      <c r="LD47" s="1805" t="str">
        <f t="shared" si="295"/>
        <v/>
      </c>
      <c r="LE47" s="1805" t="str">
        <f t="shared" si="296"/>
        <v/>
      </c>
      <c r="LF47" s="1805" t="str">
        <f t="shared" si="297"/>
        <v/>
      </c>
      <c r="LG47" s="1794" t="str">
        <f t="shared" si="298"/>
        <v/>
      </c>
      <c r="LH47" s="1794" t="str">
        <f t="shared" si="299"/>
        <v/>
      </c>
      <c r="LI47" s="1794" t="str">
        <f t="shared" si="300"/>
        <v/>
      </c>
      <c r="LJ47" s="1794" t="str">
        <f t="shared" si="301"/>
        <v/>
      </c>
      <c r="LK47" s="1794"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7">
        <f t="shared" si="323"/>
        <v>0</v>
      </c>
      <c r="MG47" s="1657">
        <f t="shared" si="324"/>
        <v>0</v>
      </c>
      <c r="MH47" s="1657">
        <f t="shared" si="325"/>
        <v>0</v>
      </c>
      <c r="MI47" s="1657">
        <f t="shared" si="326"/>
        <v>0</v>
      </c>
      <c r="MJ47" s="1657">
        <f t="shared" si="327"/>
        <v>0</v>
      </c>
      <c r="MK47" s="1657">
        <f t="shared" si="333"/>
        <v>0</v>
      </c>
      <c r="ML47" s="1657">
        <f t="shared" si="334"/>
        <v>0</v>
      </c>
      <c r="MM47" s="1657">
        <f t="shared" si="335"/>
        <v>0</v>
      </c>
      <c r="MN47" s="1657">
        <f t="shared" si="336"/>
        <v>0</v>
      </c>
      <c r="MO47" s="1657">
        <f t="shared" si="337"/>
        <v>0</v>
      </c>
      <c r="MP47" s="1657">
        <f t="shared" si="328"/>
        <v>0</v>
      </c>
      <c r="MQ47" s="1657">
        <f t="shared" si="329"/>
        <v>0</v>
      </c>
      <c r="MR47" s="1657">
        <f t="shared" si="330"/>
        <v>0</v>
      </c>
      <c r="MS47" s="1657">
        <f t="shared" si="331"/>
        <v>0</v>
      </c>
      <c r="MT47" s="1657">
        <f t="shared" si="332"/>
        <v>0</v>
      </c>
      <c r="NP47" s="1630" t="s">
        <v>4340</v>
      </c>
      <c r="NQ47" s="2478">
        <v>47</v>
      </c>
    </row>
    <row r="48" spans="1:381" ht="13.9" customHeight="1">
      <c r="A48" s="86" t="str">
        <f t="shared" si="0"/>
        <v/>
      </c>
      <c r="B48" s="1061"/>
      <c r="C48" s="135"/>
      <c r="D48" s="1663"/>
      <c r="E48" s="136"/>
      <c r="F48" s="136"/>
      <c r="G48" s="136"/>
      <c r="H48" s="136"/>
      <c r="I48" s="136"/>
      <c r="J48" s="744">
        <f>IF(C48="",0,HLOOKUP(C48,'Part IV-Utility Allowances'!$I$11:$M$22,12))</f>
        <v>0</v>
      </c>
      <c r="K48" s="633"/>
      <c r="L48" s="461">
        <f t="shared" si="1"/>
        <v>0</v>
      </c>
      <c r="M48" s="461">
        <f t="shared" si="2"/>
        <v>0</v>
      </c>
      <c r="N48" s="684"/>
      <c r="O48" s="1517"/>
      <c r="P48" s="684"/>
      <c r="Q48" s="137"/>
      <c r="R48" s="728"/>
      <c r="S48" s="729"/>
      <c r="T48" s="3466"/>
      <c r="U48" s="3467"/>
      <c r="V48" s="3467"/>
      <c r="W48" s="3468"/>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5" t="str">
        <f t="shared" si="213"/>
        <v/>
      </c>
      <c r="IA48" s="1805" t="str">
        <f t="shared" si="214"/>
        <v/>
      </c>
      <c r="IB48" s="1805" t="str">
        <f t="shared" si="215"/>
        <v/>
      </c>
      <c r="IC48" s="1805" t="str">
        <f t="shared" si="216"/>
        <v/>
      </c>
      <c r="ID48" s="1805" t="str">
        <f t="shared" si="217"/>
        <v/>
      </c>
      <c r="IE48" s="1805" t="str">
        <f t="shared" si="218"/>
        <v/>
      </c>
      <c r="IF48" s="1805" t="str">
        <f t="shared" si="219"/>
        <v/>
      </c>
      <c r="IG48" s="1805" t="str">
        <f t="shared" si="220"/>
        <v/>
      </c>
      <c r="IH48" s="1805" t="str">
        <f t="shared" si="221"/>
        <v/>
      </c>
      <c r="II48" s="1805" t="str">
        <f t="shared" si="222"/>
        <v/>
      </c>
      <c r="IJ48" s="1805" t="str">
        <f t="shared" si="223"/>
        <v/>
      </c>
      <c r="IK48" s="1805" t="str">
        <f t="shared" si="224"/>
        <v/>
      </c>
      <c r="IL48" s="1805" t="str">
        <f t="shared" si="225"/>
        <v/>
      </c>
      <c r="IM48" s="1805" t="str">
        <f t="shared" si="226"/>
        <v/>
      </c>
      <c r="IN48" s="1805" t="str">
        <f t="shared" si="227"/>
        <v/>
      </c>
      <c r="IO48" s="1805" t="str">
        <f t="shared" si="228"/>
        <v/>
      </c>
      <c r="IP48" s="1805" t="str">
        <f t="shared" si="229"/>
        <v/>
      </c>
      <c r="IQ48" s="1805" t="str">
        <f t="shared" si="230"/>
        <v/>
      </c>
      <c r="IR48" s="1805" t="str">
        <f t="shared" si="231"/>
        <v/>
      </c>
      <c r="IS48" s="1805" t="str">
        <f t="shared" si="232"/>
        <v/>
      </c>
      <c r="IT48" s="1805" t="str">
        <f t="shared" si="233"/>
        <v/>
      </c>
      <c r="IU48" s="1805" t="str">
        <f t="shared" si="234"/>
        <v/>
      </c>
      <c r="IV48" s="1805" t="str">
        <f t="shared" si="235"/>
        <v/>
      </c>
      <c r="IW48" s="1805" t="str">
        <f t="shared" si="236"/>
        <v/>
      </c>
      <c r="IX48" s="1805" t="str">
        <f t="shared" si="237"/>
        <v/>
      </c>
      <c r="IY48" s="1805" t="str">
        <f t="shared" si="238"/>
        <v/>
      </c>
      <c r="IZ48" s="1805" t="str">
        <f t="shared" si="239"/>
        <v/>
      </c>
      <c r="JA48" s="1805" t="str">
        <f t="shared" si="240"/>
        <v/>
      </c>
      <c r="JB48" s="1805" t="str">
        <f t="shared" si="241"/>
        <v/>
      </c>
      <c r="JC48" s="1805" t="str">
        <f t="shared" si="242"/>
        <v/>
      </c>
      <c r="JD48" s="1805" t="str">
        <f t="shared" si="243"/>
        <v/>
      </c>
      <c r="JE48" s="1805" t="str">
        <f t="shared" si="244"/>
        <v/>
      </c>
      <c r="JF48" s="1805" t="str">
        <f t="shared" si="245"/>
        <v/>
      </c>
      <c r="JG48" s="1805" t="str">
        <f t="shared" si="246"/>
        <v/>
      </c>
      <c r="JH48" s="1805" t="str">
        <f t="shared" si="247"/>
        <v/>
      </c>
      <c r="JI48" s="1805" t="str">
        <f t="shared" si="248"/>
        <v/>
      </c>
      <c r="JJ48" s="1805" t="str">
        <f t="shared" si="249"/>
        <v/>
      </c>
      <c r="JK48" s="1805" t="str">
        <f t="shared" si="250"/>
        <v/>
      </c>
      <c r="JL48" s="1805" t="str">
        <f t="shared" si="251"/>
        <v/>
      </c>
      <c r="JM48" s="1805" t="str">
        <f t="shared" si="252"/>
        <v/>
      </c>
      <c r="JN48" s="1805" t="str">
        <f t="shared" si="253"/>
        <v/>
      </c>
      <c r="JO48" s="1805" t="str">
        <f t="shared" si="254"/>
        <v/>
      </c>
      <c r="JP48" s="1805" t="str">
        <f t="shared" si="255"/>
        <v/>
      </c>
      <c r="JQ48" s="1805" t="str">
        <f t="shared" si="256"/>
        <v/>
      </c>
      <c r="JR48" s="1805" t="str">
        <f t="shared" si="257"/>
        <v/>
      </c>
      <c r="JS48" s="1805" t="str">
        <f t="shared" si="258"/>
        <v/>
      </c>
      <c r="JT48" s="1805" t="str">
        <f t="shared" si="259"/>
        <v/>
      </c>
      <c r="JU48" s="1805" t="str">
        <f t="shared" si="260"/>
        <v/>
      </c>
      <c r="JV48" s="1805" t="str">
        <f t="shared" si="261"/>
        <v/>
      </c>
      <c r="JW48" s="1805" t="str">
        <f t="shared" si="262"/>
        <v/>
      </c>
      <c r="JX48" s="1805" t="str">
        <f t="shared" si="263"/>
        <v/>
      </c>
      <c r="JY48" s="1805" t="str">
        <f t="shared" si="264"/>
        <v/>
      </c>
      <c r="JZ48" s="1805" t="str">
        <f t="shared" si="265"/>
        <v/>
      </c>
      <c r="KA48" s="1805" t="str">
        <f t="shared" si="266"/>
        <v/>
      </c>
      <c r="KB48" s="1805" t="str">
        <f t="shared" si="267"/>
        <v/>
      </c>
      <c r="KC48" s="1805" t="str">
        <f t="shared" si="268"/>
        <v/>
      </c>
      <c r="KD48" s="1805" t="str">
        <f t="shared" si="269"/>
        <v/>
      </c>
      <c r="KE48" s="1805" t="str">
        <f t="shared" si="270"/>
        <v/>
      </c>
      <c r="KF48" s="1805" t="str">
        <f t="shared" si="271"/>
        <v/>
      </c>
      <c r="KG48" s="1805" t="str">
        <f t="shared" si="272"/>
        <v/>
      </c>
      <c r="KH48" s="1805" t="str">
        <f t="shared" si="273"/>
        <v/>
      </c>
      <c r="KI48" s="1805" t="str">
        <f t="shared" si="274"/>
        <v/>
      </c>
      <c r="KJ48" s="1805" t="str">
        <f t="shared" si="275"/>
        <v/>
      </c>
      <c r="KK48" s="1805" t="str">
        <f t="shared" si="276"/>
        <v/>
      </c>
      <c r="KL48" s="1805" t="str">
        <f t="shared" si="277"/>
        <v/>
      </c>
      <c r="KM48" s="1805" t="str">
        <f t="shared" si="278"/>
        <v/>
      </c>
      <c r="KN48" s="1805" t="str">
        <f t="shared" si="279"/>
        <v/>
      </c>
      <c r="KO48" s="1805" t="str">
        <f t="shared" si="280"/>
        <v/>
      </c>
      <c r="KP48" s="1805" t="str">
        <f t="shared" si="281"/>
        <v/>
      </c>
      <c r="KQ48" s="1805" t="str">
        <f t="shared" si="282"/>
        <v/>
      </c>
      <c r="KR48" s="1805" t="str">
        <f t="shared" si="283"/>
        <v/>
      </c>
      <c r="KS48" s="1805" t="str">
        <f t="shared" si="284"/>
        <v/>
      </c>
      <c r="KT48" s="1805" t="str">
        <f t="shared" si="285"/>
        <v/>
      </c>
      <c r="KU48" s="1805" t="str">
        <f t="shared" si="286"/>
        <v/>
      </c>
      <c r="KV48" s="1805" t="str">
        <f t="shared" si="287"/>
        <v/>
      </c>
      <c r="KW48" s="1805" t="str">
        <f t="shared" si="288"/>
        <v/>
      </c>
      <c r="KX48" s="1805" t="str">
        <f t="shared" si="289"/>
        <v/>
      </c>
      <c r="KY48" s="1805" t="str">
        <f t="shared" si="290"/>
        <v/>
      </c>
      <c r="KZ48" s="1805" t="str">
        <f t="shared" si="291"/>
        <v/>
      </c>
      <c r="LA48" s="1805" t="str">
        <f t="shared" si="292"/>
        <v/>
      </c>
      <c r="LB48" s="1805" t="str">
        <f t="shared" si="293"/>
        <v/>
      </c>
      <c r="LC48" s="1805" t="str">
        <f t="shared" si="294"/>
        <v/>
      </c>
      <c r="LD48" s="1805" t="str">
        <f t="shared" si="295"/>
        <v/>
      </c>
      <c r="LE48" s="1805" t="str">
        <f t="shared" si="296"/>
        <v/>
      </c>
      <c r="LF48" s="1805" t="str">
        <f t="shared" si="297"/>
        <v/>
      </c>
      <c r="LG48" s="1794" t="str">
        <f t="shared" si="298"/>
        <v/>
      </c>
      <c r="LH48" s="1794" t="str">
        <f t="shared" si="299"/>
        <v/>
      </c>
      <c r="LI48" s="1794" t="str">
        <f t="shared" si="300"/>
        <v/>
      </c>
      <c r="LJ48" s="1794" t="str">
        <f t="shared" si="301"/>
        <v/>
      </c>
      <c r="LK48" s="1794"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7">
        <f t="shared" si="323"/>
        <v>0</v>
      </c>
      <c r="MG48" s="1657">
        <f t="shared" si="324"/>
        <v>0</v>
      </c>
      <c r="MH48" s="1657">
        <f t="shared" si="325"/>
        <v>0</v>
      </c>
      <c r="MI48" s="1657">
        <f t="shared" si="326"/>
        <v>0</v>
      </c>
      <c r="MJ48" s="1657">
        <f t="shared" si="327"/>
        <v>0</v>
      </c>
      <c r="MK48" s="1657">
        <f t="shared" si="333"/>
        <v>0</v>
      </c>
      <c r="ML48" s="1657">
        <f t="shared" si="334"/>
        <v>0</v>
      </c>
      <c r="MM48" s="1657">
        <f t="shared" si="335"/>
        <v>0</v>
      </c>
      <c r="MN48" s="1657">
        <f t="shared" si="336"/>
        <v>0</v>
      </c>
      <c r="MO48" s="1657">
        <f t="shared" si="337"/>
        <v>0</v>
      </c>
      <c r="MP48" s="1657">
        <f t="shared" si="328"/>
        <v>0</v>
      </c>
      <c r="MQ48" s="1657">
        <f t="shared" si="329"/>
        <v>0</v>
      </c>
      <c r="MR48" s="1657">
        <f t="shared" si="330"/>
        <v>0</v>
      </c>
      <c r="MS48" s="1657">
        <f t="shared" si="331"/>
        <v>0</v>
      </c>
      <c r="MT48" s="1657">
        <f t="shared" si="332"/>
        <v>0</v>
      </c>
      <c r="NP48" s="1630" t="s">
        <v>4341</v>
      </c>
      <c r="NQ48" s="2480">
        <v>48</v>
      </c>
    </row>
    <row r="49" spans="1:381" s="115" customFormat="1" ht="13.9" customHeight="1">
      <c r="A49" s="1368">
        <f>COUNT(A11,A12,A13,A14,A15,A16,A17,A18,A19,A20,A21,A22,A23,A24,A25,A26,A27,A28,A29,A30,A31,A32,A33,A34,A35,A36,A37,A38,A39,A40)</f>
        <v>9</v>
      </c>
      <c r="B49" s="3464" t="s">
        <v>3650</v>
      </c>
      <c r="C49" s="3465"/>
      <c r="D49" s="107" t="s">
        <v>953</v>
      </c>
      <c r="E49" s="1054">
        <f>SUM(E11:E48)</f>
        <v>80</v>
      </c>
      <c r="F49" s="1052">
        <f>(E11*F11+E12*F12+E13*F13+E14*F14+E15*F15+E16*F16+E17*F17+E18*F18+E19*F19+E20*F20+E21*F21+E22*F22+E23*F23+E24*F24+E25*F25+E26*F26+E27*F27+E28*F28+E29*F29+E30*F30+E31*F31+E32*F32+E33*F33+E34*F34+E35*F35+E36*F36+E37*F37+E38*F38+E39*F39+E40*F40+E41*F41+E42*F42+E43*F43+E44*F44+E45*F45+E46*F46+E47*F47+E48*F48)</f>
        <v>78400</v>
      </c>
      <c r="H49" s="3469" t="s">
        <v>3647</v>
      </c>
      <c r="I49" s="1055" t="s">
        <v>3648</v>
      </c>
      <c r="J49" s="1056" t="str">
        <f>IF(P67=0,"",IF(SUM(P58:P62)/P67&gt;=0.4,"Pass","Fail"))</f>
        <v>Pass</v>
      </c>
      <c r="K49" s="447"/>
      <c r="L49" s="687" t="s">
        <v>1223</v>
      </c>
      <c r="M49" s="94">
        <f>SUM(M11:M48)</f>
        <v>103220</v>
      </c>
      <c r="N49" s="72"/>
      <c r="O49" s="72"/>
      <c r="P49" s="72"/>
      <c r="Q49" s="72"/>
      <c r="R49" s="72"/>
      <c r="S49" s="72"/>
      <c r="T49" s="72"/>
      <c r="U49" s="72"/>
      <c r="V49" s="674"/>
      <c r="W49" s="448"/>
      <c r="X49" s="1658">
        <f t="shared" ref="X49:FA49" si="338">SUM(X11:X48)</f>
        <v>0</v>
      </c>
      <c r="Y49" s="1658">
        <f t="shared" si="338"/>
        <v>0</v>
      </c>
      <c r="Z49" s="1658">
        <f t="shared" si="338"/>
        <v>0</v>
      </c>
      <c r="AA49" s="1658">
        <f t="shared" si="338"/>
        <v>0</v>
      </c>
      <c r="AB49" s="1658">
        <f t="shared" si="338"/>
        <v>0</v>
      </c>
      <c r="AC49" s="1658">
        <f t="shared" si="338"/>
        <v>0</v>
      </c>
      <c r="AD49" s="1658">
        <f t="shared" si="338"/>
        <v>0</v>
      </c>
      <c r="AE49" s="1658">
        <f t="shared" si="338"/>
        <v>0</v>
      </c>
      <c r="AF49" s="1658">
        <f t="shared" si="338"/>
        <v>0</v>
      </c>
      <c r="AG49" s="1658">
        <f t="shared" si="338"/>
        <v>0</v>
      </c>
      <c r="AH49" s="1658">
        <f t="shared" si="338"/>
        <v>0</v>
      </c>
      <c r="AI49" s="1658">
        <f t="shared" si="338"/>
        <v>9</v>
      </c>
      <c r="AJ49" s="1658">
        <f t="shared" si="338"/>
        <v>19</v>
      </c>
      <c r="AK49" s="1658">
        <f t="shared" si="338"/>
        <v>19</v>
      </c>
      <c r="AL49" s="1658">
        <f t="shared" si="338"/>
        <v>0</v>
      </c>
      <c r="AM49" s="1658">
        <f>SUM(AM11:AM48)</f>
        <v>0</v>
      </c>
      <c r="AN49" s="1658">
        <f>SUM(AN11:AN48)</f>
        <v>3</v>
      </c>
      <c r="AO49" s="1658">
        <f>SUM(AO11:AO48)</f>
        <v>5</v>
      </c>
      <c r="AP49" s="1658">
        <f>SUM(AP11:AP48)</f>
        <v>5</v>
      </c>
      <c r="AQ49" s="1658">
        <f>SUM(AQ11:AQ48)</f>
        <v>0</v>
      </c>
      <c r="AR49" s="1658">
        <f t="shared" si="338"/>
        <v>0</v>
      </c>
      <c r="AS49" s="1658">
        <f t="shared" si="338"/>
        <v>0</v>
      </c>
      <c r="AT49" s="1658">
        <f t="shared" si="338"/>
        <v>0</v>
      </c>
      <c r="AU49" s="1658">
        <f t="shared" si="338"/>
        <v>0</v>
      </c>
      <c r="AV49" s="1658">
        <f t="shared" si="338"/>
        <v>0</v>
      </c>
      <c r="AW49" s="1658">
        <f t="shared" si="338"/>
        <v>0</v>
      </c>
      <c r="AX49" s="1658">
        <f t="shared" si="338"/>
        <v>0</v>
      </c>
      <c r="AY49" s="1658">
        <f t="shared" si="338"/>
        <v>0</v>
      </c>
      <c r="AZ49" s="1658">
        <f t="shared" si="338"/>
        <v>0</v>
      </c>
      <c r="BA49" s="1658">
        <f t="shared" si="338"/>
        <v>0</v>
      </c>
      <c r="BB49" s="1658">
        <f>SUM(BB11:BB48)</f>
        <v>0</v>
      </c>
      <c r="BC49" s="1658">
        <f>SUM(BC11:BC48)</f>
        <v>0</v>
      </c>
      <c r="BD49" s="1658">
        <f>SUM(BD11:BD48)</f>
        <v>0</v>
      </c>
      <c r="BE49" s="1658">
        <f>SUM(BE11:BE48)</f>
        <v>0</v>
      </c>
      <c r="BF49" s="1658">
        <f>SUM(BF11:BF48)</f>
        <v>0</v>
      </c>
      <c r="BG49" s="1658">
        <f t="shared" si="338"/>
        <v>0</v>
      </c>
      <c r="BH49" s="1658">
        <f t="shared" si="338"/>
        <v>4</v>
      </c>
      <c r="BI49" s="1658">
        <f t="shared" si="338"/>
        <v>8</v>
      </c>
      <c r="BJ49" s="1658">
        <f t="shared" si="338"/>
        <v>8</v>
      </c>
      <c r="BK49" s="1658">
        <f t="shared" si="338"/>
        <v>0</v>
      </c>
      <c r="BL49" s="1658">
        <f>SUM(BL11:BL48)</f>
        <v>0</v>
      </c>
      <c r="BM49" s="1658">
        <f>SUM(BM11:BM48)</f>
        <v>0</v>
      </c>
      <c r="BN49" s="1658">
        <f>SUM(BN11:BN48)</f>
        <v>0</v>
      </c>
      <c r="BO49" s="1658">
        <f>SUM(BO11:BO48)</f>
        <v>0</v>
      </c>
      <c r="BP49" s="1658">
        <f>SUM(BP11:BP48)</f>
        <v>0</v>
      </c>
      <c r="BQ49" s="1658">
        <f t="shared" si="338"/>
        <v>0</v>
      </c>
      <c r="BR49" s="1658">
        <f t="shared" si="338"/>
        <v>0</v>
      </c>
      <c r="BS49" s="1658">
        <f t="shared" si="338"/>
        <v>0</v>
      </c>
      <c r="BT49" s="1658">
        <f t="shared" si="338"/>
        <v>0</v>
      </c>
      <c r="BU49" s="1658">
        <f t="shared" si="338"/>
        <v>0</v>
      </c>
      <c r="BV49" s="1658">
        <f>SUM(BV11:BV48)</f>
        <v>0</v>
      </c>
      <c r="BW49" s="1658">
        <f>SUM(BW11:BW48)</f>
        <v>0</v>
      </c>
      <c r="BX49" s="1658">
        <f>SUM(BX11:BX48)</f>
        <v>0</v>
      </c>
      <c r="BY49" s="1658">
        <f>SUM(BY11:BY48)</f>
        <v>0</v>
      </c>
      <c r="BZ49" s="1658">
        <f>SUM(BZ11:BZ48)</f>
        <v>0</v>
      </c>
      <c r="CA49" s="1658">
        <f t="shared" si="338"/>
        <v>0</v>
      </c>
      <c r="CB49" s="1658">
        <f t="shared" si="338"/>
        <v>0</v>
      </c>
      <c r="CC49" s="1658">
        <f t="shared" si="338"/>
        <v>0</v>
      </c>
      <c r="CD49" s="1658">
        <f t="shared" si="338"/>
        <v>0</v>
      </c>
      <c r="CE49" s="1658">
        <f t="shared" si="338"/>
        <v>0</v>
      </c>
      <c r="CF49" s="1658">
        <f t="shared" si="338"/>
        <v>0</v>
      </c>
      <c r="CG49" s="1658">
        <f t="shared" si="338"/>
        <v>0</v>
      </c>
      <c r="CH49" s="1658">
        <f t="shared" si="338"/>
        <v>0</v>
      </c>
      <c r="CI49" s="1658">
        <f t="shared" si="338"/>
        <v>0</v>
      </c>
      <c r="CJ49" s="1658">
        <f t="shared" si="338"/>
        <v>0</v>
      </c>
      <c r="CK49" s="1658">
        <f>SUM(CK11:CK48)</f>
        <v>0</v>
      </c>
      <c r="CL49" s="1658">
        <f>SUM(CL11:CL48)</f>
        <v>0</v>
      </c>
      <c r="CM49" s="1658">
        <f>SUM(CM11:CM48)</f>
        <v>0</v>
      </c>
      <c r="CN49" s="1658">
        <f>SUM(CN11:CN48)</f>
        <v>0</v>
      </c>
      <c r="CO49" s="1658">
        <f>SUM(CO11:CO48)</f>
        <v>0</v>
      </c>
      <c r="CP49" s="1658">
        <f t="shared" ref="CP49:CY49" si="339">SUM(CP11:CP48)</f>
        <v>0</v>
      </c>
      <c r="CQ49" s="1658">
        <f t="shared" si="339"/>
        <v>0</v>
      </c>
      <c r="CR49" s="1658">
        <f t="shared" si="339"/>
        <v>0</v>
      </c>
      <c r="CS49" s="1658">
        <f t="shared" si="339"/>
        <v>0</v>
      </c>
      <c r="CT49" s="1658">
        <f t="shared" si="339"/>
        <v>0</v>
      </c>
      <c r="CU49" s="1658">
        <f t="shared" si="339"/>
        <v>0</v>
      </c>
      <c r="CV49" s="1658">
        <f t="shared" si="339"/>
        <v>0</v>
      </c>
      <c r="CW49" s="1658">
        <f t="shared" si="339"/>
        <v>0</v>
      </c>
      <c r="CX49" s="1658">
        <f t="shared" si="339"/>
        <v>0</v>
      </c>
      <c r="CY49" s="1658">
        <f t="shared" si="339"/>
        <v>0</v>
      </c>
      <c r="CZ49" s="1658">
        <f t="shared" si="338"/>
        <v>0</v>
      </c>
      <c r="DA49" s="1658">
        <f t="shared" si="338"/>
        <v>0</v>
      </c>
      <c r="DB49" s="1658">
        <f t="shared" si="338"/>
        <v>0</v>
      </c>
      <c r="DC49" s="1658">
        <f t="shared" si="338"/>
        <v>0</v>
      </c>
      <c r="DD49" s="1658">
        <f t="shared" si="338"/>
        <v>0</v>
      </c>
      <c r="DE49" s="1658">
        <f t="shared" si="338"/>
        <v>0</v>
      </c>
      <c r="DF49" s="1658">
        <f t="shared" si="338"/>
        <v>0</v>
      </c>
      <c r="DG49" s="1658">
        <f t="shared" si="338"/>
        <v>0</v>
      </c>
      <c r="DH49" s="1658">
        <f t="shared" si="338"/>
        <v>0</v>
      </c>
      <c r="DI49" s="1658">
        <f t="shared" si="338"/>
        <v>0</v>
      </c>
      <c r="DJ49" s="1658">
        <f t="shared" si="338"/>
        <v>0</v>
      </c>
      <c r="DK49" s="1658">
        <f t="shared" si="338"/>
        <v>0</v>
      </c>
      <c r="DL49" s="1658">
        <f t="shared" si="338"/>
        <v>0</v>
      </c>
      <c r="DM49" s="1658">
        <f t="shared" si="338"/>
        <v>0</v>
      </c>
      <c r="DN49" s="1658">
        <f t="shared" si="338"/>
        <v>0</v>
      </c>
      <c r="DO49" s="1658">
        <f t="shared" si="338"/>
        <v>0</v>
      </c>
      <c r="DP49" s="1658">
        <f t="shared" si="338"/>
        <v>0</v>
      </c>
      <c r="DQ49" s="1658">
        <f t="shared" si="338"/>
        <v>0</v>
      </c>
      <c r="DR49" s="1658">
        <f t="shared" si="338"/>
        <v>0</v>
      </c>
      <c r="DS49" s="1658">
        <f t="shared" si="338"/>
        <v>0</v>
      </c>
      <c r="DT49" s="1658">
        <f t="shared" si="338"/>
        <v>0</v>
      </c>
      <c r="DU49" s="1658">
        <f t="shared" si="338"/>
        <v>0</v>
      </c>
      <c r="DV49" s="1658">
        <f t="shared" si="338"/>
        <v>0</v>
      </c>
      <c r="DW49" s="1658">
        <f t="shared" si="338"/>
        <v>0</v>
      </c>
      <c r="DX49" s="1658">
        <f t="shared" si="338"/>
        <v>0</v>
      </c>
      <c r="DY49" s="1658">
        <f t="shared" si="338"/>
        <v>0</v>
      </c>
      <c r="DZ49" s="1658">
        <f t="shared" si="338"/>
        <v>0</v>
      </c>
      <c r="EA49" s="1658">
        <f t="shared" si="338"/>
        <v>0</v>
      </c>
      <c r="EB49" s="1658">
        <f t="shared" si="338"/>
        <v>0</v>
      </c>
      <c r="EC49" s="1658">
        <f t="shared" si="338"/>
        <v>0</v>
      </c>
      <c r="ED49" s="1658">
        <f t="shared" si="338"/>
        <v>0</v>
      </c>
      <c r="EE49" s="1658">
        <f t="shared" si="338"/>
        <v>0</v>
      </c>
      <c r="EF49" s="1658">
        <f t="shared" si="338"/>
        <v>0</v>
      </c>
      <c r="EG49" s="1658">
        <f t="shared" si="338"/>
        <v>0</v>
      </c>
      <c r="EH49" s="1658">
        <f t="shared" si="338"/>
        <v>0</v>
      </c>
      <c r="EI49" s="1658">
        <f t="shared" si="338"/>
        <v>0</v>
      </c>
      <c r="EJ49" s="1658">
        <f t="shared" si="338"/>
        <v>0</v>
      </c>
      <c r="EK49" s="1658">
        <f t="shared" si="338"/>
        <v>0</v>
      </c>
      <c r="EL49" s="1658">
        <f t="shared" si="338"/>
        <v>0</v>
      </c>
      <c r="EM49" s="1658">
        <f t="shared" si="338"/>
        <v>0</v>
      </c>
      <c r="EN49" s="1658">
        <f t="shared" si="338"/>
        <v>0</v>
      </c>
      <c r="EO49" s="1658">
        <f t="shared" si="338"/>
        <v>0</v>
      </c>
      <c r="EP49" s="1658">
        <f t="shared" si="338"/>
        <v>0</v>
      </c>
      <c r="EQ49" s="1658">
        <f t="shared" si="338"/>
        <v>0</v>
      </c>
      <c r="ER49" s="1658">
        <f t="shared" si="338"/>
        <v>0</v>
      </c>
      <c r="ES49" s="1658">
        <f t="shared" si="338"/>
        <v>0</v>
      </c>
      <c r="ET49" s="1658">
        <f t="shared" si="338"/>
        <v>6300</v>
      </c>
      <c r="EU49" s="1658">
        <f t="shared" si="338"/>
        <v>17100</v>
      </c>
      <c r="EV49" s="1658">
        <f t="shared" si="338"/>
        <v>22800</v>
      </c>
      <c r="EW49" s="1658">
        <f t="shared" si="338"/>
        <v>0</v>
      </c>
      <c r="EX49" s="1658">
        <f t="shared" si="338"/>
        <v>0</v>
      </c>
      <c r="EY49" s="1658">
        <f t="shared" si="338"/>
        <v>2100</v>
      </c>
      <c r="EZ49" s="1658">
        <f t="shared" si="338"/>
        <v>4500</v>
      </c>
      <c r="FA49" s="1658">
        <f t="shared" si="338"/>
        <v>6000</v>
      </c>
      <c r="FB49" s="1658">
        <f t="shared" ref="FB49:HW49" si="340">SUM(FB11:FB48)</f>
        <v>0</v>
      </c>
      <c r="FC49" s="1658">
        <f>SUM(FC11:FC48)</f>
        <v>0</v>
      </c>
      <c r="FD49" s="1658">
        <f>SUM(FD11:FD48)</f>
        <v>0</v>
      </c>
      <c r="FE49" s="1658">
        <f>SUM(FE11:FE48)</f>
        <v>0</v>
      </c>
      <c r="FF49" s="1658">
        <f>SUM(FF11:FF48)</f>
        <v>0</v>
      </c>
      <c r="FG49" s="1658">
        <f>SUM(FG11:FG48)</f>
        <v>0</v>
      </c>
      <c r="FH49" s="1658">
        <f t="shared" si="340"/>
        <v>0</v>
      </c>
      <c r="FI49" s="1658">
        <f t="shared" si="340"/>
        <v>0</v>
      </c>
      <c r="FJ49" s="1658">
        <f t="shared" si="340"/>
        <v>0</v>
      </c>
      <c r="FK49" s="1658">
        <f t="shared" si="340"/>
        <v>0</v>
      </c>
      <c r="FL49" s="1658">
        <f t="shared" si="340"/>
        <v>0</v>
      </c>
      <c r="FM49" s="1658">
        <f>SUM(FM11:FM48)</f>
        <v>0</v>
      </c>
      <c r="FN49" s="1658">
        <f>SUM(FN11:FN48)</f>
        <v>0</v>
      </c>
      <c r="FO49" s="1658">
        <f>SUM(FO11:FO48)</f>
        <v>0</v>
      </c>
      <c r="FP49" s="1658">
        <f>SUM(FP11:FP48)</f>
        <v>0</v>
      </c>
      <c r="FQ49" s="1658">
        <f>SUM(FQ11:FQ48)</f>
        <v>0</v>
      </c>
      <c r="FR49" s="1658">
        <f t="shared" si="340"/>
        <v>0</v>
      </c>
      <c r="FS49" s="1658">
        <f t="shared" si="340"/>
        <v>2800</v>
      </c>
      <c r="FT49" s="1658">
        <f t="shared" si="340"/>
        <v>7200</v>
      </c>
      <c r="FU49" s="1658">
        <f t="shared" si="340"/>
        <v>9600</v>
      </c>
      <c r="FV49" s="1658">
        <f t="shared" si="340"/>
        <v>0</v>
      </c>
      <c r="FW49" s="1658">
        <f t="shared" si="340"/>
        <v>0</v>
      </c>
      <c r="FX49" s="1658">
        <f t="shared" si="340"/>
        <v>0</v>
      </c>
      <c r="FY49" s="1658">
        <f t="shared" si="340"/>
        <v>0</v>
      </c>
      <c r="FZ49" s="1658">
        <f t="shared" si="340"/>
        <v>0</v>
      </c>
      <c r="GA49" s="1658">
        <f t="shared" si="340"/>
        <v>0</v>
      </c>
      <c r="GB49" s="1658">
        <f t="shared" si="340"/>
        <v>0</v>
      </c>
      <c r="GC49" s="1658">
        <f t="shared" si="340"/>
        <v>0</v>
      </c>
      <c r="GD49" s="1658">
        <f t="shared" si="340"/>
        <v>0</v>
      </c>
      <c r="GE49" s="1658">
        <f t="shared" si="340"/>
        <v>0</v>
      </c>
      <c r="GF49" s="1658">
        <f t="shared" si="340"/>
        <v>0</v>
      </c>
      <c r="GG49" s="1658">
        <f t="shared" si="340"/>
        <v>0</v>
      </c>
      <c r="GH49" s="1658">
        <f t="shared" si="340"/>
        <v>12</v>
      </c>
      <c r="GI49" s="1658">
        <f t="shared" si="340"/>
        <v>24</v>
      </c>
      <c r="GJ49" s="1658">
        <f t="shared" si="340"/>
        <v>24</v>
      </c>
      <c r="GK49" s="1658">
        <f t="shared" si="340"/>
        <v>0</v>
      </c>
      <c r="GL49" s="1658">
        <f t="shared" si="340"/>
        <v>0</v>
      </c>
      <c r="GM49" s="1658">
        <f t="shared" si="340"/>
        <v>4</v>
      </c>
      <c r="GN49" s="1658">
        <f t="shared" si="340"/>
        <v>8</v>
      </c>
      <c r="GO49" s="1658">
        <f t="shared" si="340"/>
        <v>8</v>
      </c>
      <c r="GP49" s="1658">
        <f t="shared" si="340"/>
        <v>0</v>
      </c>
      <c r="GQ49" s="1658">
        <f t="shared" si="340"/>
        <v>0</v>
      </c>
      <c r="GR49" s="1658">
        <f t="shared" si="340"/>
        <v>0</v>
      </c>
      <c r="GS49" s="1658">
        <f t="shared" si="340"/>
        <v>0</v>
      </c>
      <c r="GT49" s="1658">
        <f t="shared" si="340"/>
        <v>0</v>
      </c>
      <c r="GU49" s="1658">
        <f t="shared" si="340"/>
        <v>0</v>
      </c>
      <c r="GV49" s="1658">
        <f t="shared" si="340"/>
        <v>0</v>
      </c>
      <c r="GW49" s="1658">
        <f t="shared" si="340"/>
        <v>0</v>
      </c>
      <c r="GX49" s="1658">
        <f t="shared" si="340"/>
        <v>0</v>
      </c>
      <c r="GY49" s="1658">
        <f t="shared" si="340"/>
        <v>0</v>
      </c>
      <c r="GZ49" s="1658">
        <f t="shared" si="340"/>
        <v>0</v>
      </c>
      <c r="HA49" s="1658">
        <f t="shared" si="340"/>
        <v>0</v>
      </c>
      <c r="HB49" s="1658">
        <f t="shared" si="340"/>
        <v>0</v>
      </c>
      <c r="HC49" s="1658">
        <f t="shared" si="340"/>
        <v>0</v>
      </c>
      <c r="HD49" s="1658">
        <f t="shared" si="340"/>
        <v>0</v>
      </c>
      <c r="HE49" s="1658">
        <f t="shared" si="340"/>
        <v>0</v>
      </c>
      <c r="HF49" s="1658">
        <f t="shared" si="340"/>
        <v>0</v>
      </c>
      <c r="HG49" s="1658">
        <f t="shared" si="340"/>
        <v>0</v>
      </c>
      <c r="HH49" s="1658">
        <f t="shared" si="340"/>
        <v>0</v>
      </c>
      <c r="HI49" s="1658">
        <f t="shared" si="340"/>
        <v>0</v>
      </c>
      <c r="HJ49" s="1658">
        <f t="shared" si="340"/>
        <v>0</v>
      </c>
      <c r="HK49" s="1658">
        <f t="shared" si="340"/>
        <v>0</v>
      </c>
      <c r="HL49" s="1658">
        <f t="shared" si="340"/>
        <v>0</v>
      </c>
      <c r="HM49" s="1658">
        <f t="shared" si="340"/>
        <v>0</v>
      </c>
      <c r="HN49" s="1658">
        <f t="shared" si="340"/>
        <v>0</v>
      </c>
      <c r="HO49" s="1658">
        <f t="shared" si="340"/>
        <v>0</v>
      </c>
      <c r="HP49" s="1658">
        <f t="shared" si="340"/>
        <v>0</v>
      </c>
      <c r="HQ49" s="1658">
        <f t="shared" si="340"/>
        <v>0</v>
      </c>
      <c r="HR49" s="1658">
        <f t="shared" si="340"/>
        <v>0</v>
      </c>
      <c r="HS49" s="1658">
        <f t="shared" si="340"/>
        <v>0</v>
      </c>
      <c r="HT49" s="1658">
        <f t="shared" si="340"/>
        <v>0</v>
      </c>
      <c r="HU49" s="1658">
        <f t="shared" si="340"/>
        <v>0</v>
      </c>
      <c r="HV49" s="1658">
        <f t="shared" si="340"/>
        <v>0</v>
      </c>
      <c r="HW49" s="1658">
        <f t="shared" si="340"/>
        <v>0</v>
      </c>
      <c r="HX49" s="1658">
        <f t="shared" ref="HX49:KG49" si="341">SUM(HX11:HX48)</f>
        <v>0</v>
      </c>
      <c r="HY49" s="1658">
        <f t="shared" si="341"/>
        <v>0</v>
      </c>
      <c r="HZ49" s="1658">
        <f t="shared" si="341"/>
        <v>0</v>
      </c>
      <c r="IA49" s="1658">
        <f t="shared" si="341"/>
        <v>16</v>
      </c>
      <c r="IB49" s="1658">
        <f t="shared" si="341"/>
        <v>32</v>
      </c>
      <c r="IC49" s="1658">
        <f t="shared" si="341"/>
        <v>32</v>
      </c>
      <c r="ID49" s="1658">
        <f t="shared" si="341"/>
        <v>0</v>
      </c>
      <c r="IE49" s="1658">
        <f t="shared" si="341"/>
        <v>0</v>
      </c>
      <c r="IF49" s="1658">
        <f t="shared" si="341"/>
        <v>0</v>
      </c>
      <c r="IG49" s="1658">
        <f t="shared" si="341"/>
        <v>0</v>
      </c>
      <c r="IH49" s="1658">
        <f t="shared" si="341"/>
        <v>0</v>
      </c>
      <c r="II49" s="1658">
        <f t="shared" si="341"/>
        <v>0</v>
      </c>
      <c r="IJ49" s="1658">
        <f t="shared" si="341"/>
        <v>0</v>
      </c>
      <c r="IK49" s="1658">
        <f t="shared" si="341"/>
        <v>0</v>
      </c>
      <c r="IL49" s="1658">
        <f t="shared" si="341"/>
        <v>0</v>
      </c>
      <c r="IM49" s="1658">
        <f t="shared" si="341"/>
        <v>0</v>
      </c>
      <c r="IN49" s="1658">
        <f t="shared" si="341"/>
        <v>0</v>
      </c>
      <c r="IO49" s="1658">
        <f t="shared" si="341"/>
        <v>0</v>
      </c>
      <c r="IP49" s="1658">
        <f t="shared" si="341"/>
        <v>0</v>
      </c>
      <c r="IQ49" s="1658">
        <f t="shared" si="341"/>
        <v>0</v>
      </c>
      <c r="IR49" s="1658">
        <f t="shared" si="341"/>
        <v>0</v>
      </c>
      <c r="IS49" s="1658">
        <f t="shared" si="341"/>
        <v>0</v>
      </c>
      <c r="IT49" s="1658">
        <f t="shared" si="341"/>
        <v>0</v>
      </c>
      <c r="IU49" s="1658">
        <f t="shared" si="341"/>
        <v>0</v>
      </c>
      <c r="IV49" s="1658">
        <f t="shared" si="341"/>
        <v>0</v>
      </c>
      <c r="IW49" s="1658">
        <f t="shared" si="341"/>
        <v>0</v>
      </c>
      <c r="IX49" s="1658">
        <f t="shared" si="341"/>
        <v>0</v>
      </c>
      <c r="IY49" s="1658">
        <f t="shared" si="341"/>
        <v>0</v>
      </c>
      <c r="IZ49" s="1658">
        <f t="shared" si="341"/>
        <v>0</v>
      </c>
      <c r="JA49" s="1658">
        <f t="shared" si="341"/>
        <v>0</v>
      </c>
      <c r="JB49" s="1658">
        <f t="shared" si="341"/>
        <v>0</v>
      </c>
      <c r="JC49" s="1658">
        <f t="shared" si="341"/>
        <v>0</v>
      </c>
      <c r="JD49" s="1658">
        <f t="shared" si="341"/>
        <v>0</v>
      </c>
      <c r="JE49" s="1658">
        <f t="shared" si="341"/>
        <v>0</v>
      </c>
      <c r="JF49" s="1658">
        <f t="shared" si="341"/>
        <v>0</v>
      </c>
      <c r="JG49" s="1658">
        <f t="shared" si="341"/>
        <v>0</v>
      </c>
      <c r="JH49" s="1658">
        <f t="shared" si="341"/>
        <v>0</v>
      </c>
      <c r="JI49" s="1658">
        <f t="shared" si="341"/>
        <v>0</v>
      </c>
      <c r="JJ49" s="1658">
        <f t="shared" si="341"/>
        <v>0</v>
      </c>
      <c r="JK49" s="1658">
        <f t="shared" si="341"/>
        <v>0</v>
      </c>
      <c r="JL49" s="1658">
        <f t="shared" si="341"/>
        <v>0</v>
      </c>
      <c r="JM49" s="1658">
        <f t="shared" si="341"/>
        <v>0</v>
      </c>
      <c r="JN49" s="1658">
        <f t="shared" si="341"/>
        <v>0</v>
      </c>
      <c r="JO49" s="1658">
        <f t="shared" si="341"/>
        <v>0</v>
      </c>
      <c r="JP49" s="1658">
        <f t="shared" si="341"/>
        <v>0</v>
      </c>
      <c r="JQ49" s="1658">
        <f t="shared" si="341"/>
        <v>0</v>
      </c>
      <c r="JR49" s="1658">
        <f t="shared" si="341"/>
        <v>0</v>
      </c>
      <c r="JS49" s="1658">
        <f t="shared" si="341"/>
        <v>0</v>
      </c>
      <c r="JT49" s="1658">
        <f t="shared" si="341"/>
        <v>0</v>
      </c>
      <c r="JU49" s="1658">
        <f t="shared" si="341"/>
        <v>0</v>
      </c>
      <c r="JV49" s="1658">
        <f t="shared" si="341"/>
        <v>0</v>
      </c>
      <c r="JW49" s="1658">
        <f t="shared" si="341"/>
        <v>0</v>
      </c>
      <c r="JX49" s="1658">
        <f>SUM(JX11:JX48)</f>
        <v>0</v>
      </c>
      <c r="JY49" s="1658">
        <f>SUM(JY11:JY48)</f>
        <v>0</v>
      </c>
      <c r="JZ49" s="1658">
        <f>SUM(JZ11:JZ48)</f>
        <v>0</v>
      </c>
      <c r="KA49" s="1658">
        <f>SUM(KA11:KA48)</f>
        <v>0</v>
      </c>
      <c r="KB49" s="1658">
        <f>SUM(KB11:KB48)</f>
        <v>0</v>
      </c>
      <c r="KC49" s="1658">
        <f t="shared" si="341"/>
        <v>0</v>
      </c>
      <c r="KD49" s="1658">
        <f t="shared" si="341"/>
        <v>0</v>
      </c>
      <c r="KE49" s="1658">
        <f t="shared" si="341"/>
        <v>0</v>
      </c>
      <c r="KF49" s="1658">
        <f t="shared" si="341"/>
        <v>0</v>
      </c>
      <c r="KG49" s="1658">
        <f t="shared" si="341"/>
        <v>0</v>
      </c>
      <c r="KH49" s="1658">
        <f>SUM(KH11:KH48)</f>
        <v>0</v>
      </c>
      <c r="KI49" s="1658">
        <f>SUM(KI11:KI48)</f>
        <v>0</v>
      </c>
      <c r="KJ49" s="1658">
        <f>SUM(KJ11:KJ48)</f>
        <v>0</v>
      </c>
      <c r="KK49" s="1658">
        <f>SUM(KK11:KK48)</f>
        <v>0</v>
      </c>
      <c r="KL49" s="1658">
        <f>SUM(KL11:KL48)</f>
        <v>0</v>
      </c>
      <c r="KM49" s="1658">
        <f t="shared" ref="KM49:LA49" si="342">SUM(KM11:KM48)</f>
        <v>0</v>
      </c>
      <c r="KN49" s="1658">
        <f t="shared" si="342"/>
        <v>0</v>
      </c>
      <c r="KO49" s="1658">
        <f t="shared" si="342"/>
        <v>0</v>
      </c>
      <c r="KP49" s="1658">
        <f t="shared" si="342"/>
        <v>0</v>
      </c>
      <c r="KQ49" s="1658">
        <f t="shared" si="342"/>
        <v>0</v>
      </c>
      <c r="KR49" s="1658">
        <f>SUM(KR11:KR48)</f>
        <v>0</v>
      </c>
      <c r="KS49" s="1658">
        <f>SUM(KS11:KS48)</f>
        <v>16</v>
      </c>
      <c r="KT49" s="1658">
        <f>SUM(KT11:KT48)</f>
        <v>32</v>
      </c>
      <c r="KU49" s="1658">
        <f>SUM(KU11:KU48)</f>
        <v>32</v>
      </c>
      <c r="KV49" s="1658">
        <f>SUM(KV11:KV48)</f>
        <v>0</v>
      </c>
      <c r="KW49" s="1658">
        <f t="shared" si="342"/>
        <v>0</v>
      </c>
      <c r="KX49" s="1658">
        <f t="shared" si="342"/>
        <v>0</v>
      </c>
      <c r="KY49" s="1658">
        <f t="shared" si="342"/>
        <v>0</v>
      </c>
      <c r="KZ49" s="1658">
        <f t="shared" si="342"/>
        <v>0</v>
      </c>
      <c r="LA49" s="1658">
        <f t="shared" si="342"/>
        <v>0</v>
      </c>
      <c r="LB49" s="1658">
        <f>SUM(LB11:LB48)</f>
        <v>0</v>
      </c>
      <c r="LC49" s="1658">
        <f>SUM(LC11:LC48)</f>
        <v>0</v>
      </c>
      <c r="LD49" s="1658">
        <f>SUM(LD11:LD48)</f>
        <v>0</v>
      </c>
      <c r="LE49" s="1658">
        <f>SUM(LE11:LE48)</f>
        <v>0</v>
      </c>
      <c r="LF49" s="1658">
        <f>SUM(LF11:LF48)</f>
        <v>0</v>
      </c>
      <c r="LG49" s="1658">
        <f t="shared" ref="LG49:MU49" si="343">SUM(LG11:LG48)</f>
        <v>0</v>
      </c>
      <c r="LH49" s="1658">
        <f t="shared" si="343"/>
        <v>0</v>
      </c>
      <c r="LI49" s="1658">
        <f t="shared" si="343"/>
        <v>0</v>
      </c>
      <c r="LJ49" s="1658">
        <f t="shared" si="343"/>
        <v>0</v>
      </c>
      <c r="LK49" s="1658">
        <f t="shared" si="343"/>
        <v>0</v>
      </c>
      <c r="LL49" s="1658">
        <f t="shared" si="343"/>
        <v>0</v>
      </c>
      <c r="LM49" s="1658">
        <f t="shared" si="343"/>
        <v>0</v>
      </c>
      <c r="LN49" s="1658">
        <f t="shared" si="343"/>
        <v>0</v>
      </c>
      <c r="LO49" s="1658">
        <f t="shared" si="343"/>
        <v>0</v>
      </c>
      <c r="LP49" s="1658">
        <f t="shared" si="343"/>
        <v>0</v>
      </c>
      <c r="LQ49" s="1658">
        <f t="shared" si="343"/>
        <v>0</v>
      </c>
      <c r="LR49" s="1658">
        <f t="shared" si="343"/>
        <v>0</v>
      </c>
      <c r="LS49" s="1658">
        <f t="shared" si="343"/>
        <v>0</v>
      </c>
      <c r="LT49" s="1658">
        <f t="shared" si="343"/>
        <v>0</v>
      </c>
      <c r="LU49" s="1658">
        <f t="shared" si="343"/>
        <v>0</v>
      </c>
      <c r="LV49" s="1658">
        <f t="shared" si="343"/>
        <v>0</v>
      </c>
      <c r="LW49" s="1658">
        <f t="shared" si="343"/>
        <v>0</v>
      </c>
      <c r="LX49" s="1658">
        <f t="shared" si="343"/>
        <v>0</v>
      </c>
      <c r="LY49" s="1658">
        <f t="shared" si="343"/>
        <v>0</v>
      </c>
      <c r="LZ49" s="1658">
        <f t="shared" si="343"/>
        <v>0</v>
      </c>
      <c r="MA49" s="1658">
        <f t="shared" si="343"/>
        <v>0</v>
      </c>
      <c r="MB49" s="1658">
        <f t="shared" si="343"/>
        <v>0</v>
      </c>
      <c r="MC49" s="1658">
        <f t="shared" si="343"/>
        <v>0</v>
      </c>
      <c r="MD49" s="1658">
        <f t="shared" si="343"/>
        <v>0</v>
      </c>
      <c r="ME49" s="1658">
        <f t="shared" si="343"/>
        <v>0</v>
      </c>
      <c r="MF49" s="1658">
        <f t="shared" si="343"/>
        <v>0</v>
      </c>
      <c r="MG49" s="1658">
        <f t="shared" si="343"/>
        <v>0</v>
      </c>
      <c r="MH49" s="1658">
        <f t="shared" si="343"/>
        <v>0</v>
      </c>
      <c r="MI49" s="1658">
        <f t="shared" si="343"/>
        <v>0</v>
      </c>
      <c r="MJ49" s="1658">
        <f t="shared" si="343"/>
        <v>0</v>
      </c>
      <c r="MK49" s="1658">
        <f t="shared" si="343"/>
        <v>0</v>
      </c>
      <c r="ML49" s="1658">
        <f t="shared" si="343"/>
        <v>16</v>
      </c>
      <c r="MM49" s="1658">
        <f t="shared" si="343"/>
        <v>32</v>
      </c>
      <c r="MN49" s="1658">
        <f t="shared" si="343"/>
        <v>32</v>
      </c>
      <c r="MO49" s="1658">
        <f t="shared" si="343"/>
        <v>0</v>
      </c>
      <c r="MP49" s="1658">
        <f t="shared" si="343"/>
        <v>0</v>
      </c>
      <c r="MQ49" s="1658">
        <f t="shared" si="343"/>
        <v>0</v>
      </c>
      <c r="MR49" s="1658">
        <f t="shared" si="343"/>
        <v>0</v>
      </c>
      <c r="MS49" s="1658">
        <f t="shared" si="343"/>
        <v>0</v>
      </c>
      <c r="MT49" s="1658">
        <f t="shared" si="343"/>
        <v>0</v>
      </c>
      <c r="MU49" s="448">
        <f t="shared" si="343"/>
        <v>0</v>
      </c>
      <c r="NO49" s="356"/>
      <c r="NP49" s="1630" t="s">
        <v>4342</v>
      </c>
      <c r="NQ49" s="2480">
        <v>49</v>
      </c>
    </row>
    <row r="50" spans="1:381" s="115" customFormat="1" ht="13.9" customHeight="1">
      <c r="B50" s="3471">
        <f>IF(SUM(E18:E48)=0,"",(B18*E18+B19*E19+B20*E20+B21*E21+B22*E22+B23*E23+B24*E24+B25*E25+B26*E26+B27*E27+B28*E28+B29*E29+B30*E30+B31*E31+B32*E32+B33*E33+B34*E34+B35*E35+B36*E36+B37*E37+B38*E38+B39*E39+B40*E40+B41*E41+B42*E42+B43*E43+B44*E44+B45*E45+B46*E46+B47*E47+B48*E48)/SUM(E18:E48))</f>
        <v>57.833333333333336</v>
      </c>
      <c r="C50" s="3472"/>
      <c r="D50" s="119" t="s">
        <v>3557</v>
      </c>
      <c r="E50" s="1051">
        <f>SUM(E18:E48)</f>
        <v>60</v>
      </c>
      <c r="F50" s="1053">
        <f>(E18*F18+E19*F19+E20*F20+E21*F21+E22*F22+E23*F23+E24*F24+E25*F25+E26*F26+E27*F27+E28*F28+E29*F29+E30*F30+E31*F31+E32*F32+E33*F33+E34*F34+E35*F35+E36*F36+E37*F37+E38*F38+E39*F39+E40*F40+E41*F41+E42*F42+E43*F43+E44*F44+E45*F45+E46*F46+E47*F47+E48*F48)</f>
        <v>58800</v>
      </c>
      <c r="H50" s="3470"/>
      <c r="I50" s="1057" t="s">
        <v>3649</v>
      </c>
      <c r="J50" s="1058" t="str">
        <f>IF(P67=0,"",IF(SUM(P59:P62)/P67&gt;=0.2,"Pass","Fail"))</f>
        <v>Fail</v>
      </c>
      <c r="K50" s="447"/>
      <c r="L50" s="107" t="s">
        <v>756</v>
      </c>
      <c r="M50" s="94">
        <f>M49*12</f>
        <v>1238640</v>
      </c>
      <c r="N50" s="72"/>
      <c r="O50" s="72"/>
      <c r="P50" s="72"/>
      <c r="Q50" s="72"/>
      <c r="R50" s="72"/>
      <c r="S50" s="72"/>
      <c r="T50" s="72"/>
      <c r="U50" s="72"/>
      <c r="V50" s="72"/>
      <c r="W50" s="448"/>
      <c r="X50" s="1658"/>
      <c r="Y50" s="1658"/>
      <c r="Z50" s="1658"/>
      <c r="AA50" s="1658"/>
      <c r="AB50" s="1658"/>
      <c r="AC50" s="1658"/>
      <c r="AD50" s="1658"/>
      <c r="AE50" s="1658"/>
      <c r="AF50" s="1658"/>
      <c r="AG50" s="1658"/>
      <c r="AH50" s="1658"/>
      <c r="AI50" s="1658"/>
      <c r="AJ50" s="1658"/>
      <c r="AK50" s="1658"/>
      <c r="AL50" s="1658"/>
      <c r="AM50" s="1658"/>
      <c r="AN50" s="1658"/>
      <c r="AO50" s="1658"/>
      <c r="AP50" s="1658"/>
      <c r="AQ50" s="1658"/>
      <c r="AR50" s="1658"/>
      <c r="AS50" s="1658"/>
      <c r="AT50" s="1658"/>
      <c r="AU50" s="1658"/>
      <c r="AV50" s="1658"/>
      <c r="AW50" s="1658"/>
      <c r="AX50" s="1658"/>
      <c r="AY50" s="1658"/>
      <c r="AZ50" s="1658"/>
      <c r="BA50" s="1658"/>
      <c r="BB50" s="1658"/>
      <c r="BC50" s="1658"/>
      <c r="BD50" s="1658"/>
      <c r="BE50" s="1658"/>
      <c r="BF50" s="1658"/>
      <c r="BG50" s="1658"/>
      <c r="BH50" s="1658"/>
      <c r="BI50" s="1658"/>
      <c r="BJ50" s="1658"/>
      <c r="BK50" s="1658"/>
      <c r="BL50" s="1658"/>
      <c r="BM50" s="1658"/>
      <c r="BN50" s="1658"/>
      <c r="BO50" s="1658"/>
      <c r="BP50" s="1658"/>
      <c r="BQ50" s="1658"/>
      <c r="BR50" s="1658"/>
      <c r="BS50" s="1658"/>
      <c r="BT50" s="1658"/>
      <c r="BU50" s="1658"/>
      <c r="BV50" s="1658"/>
      <c r="BW50" s="1658"/>
      <c r="BX50" s="1658"/>
      <c r="BY50" s="1658"/>
      <c r="BZ50" s="1658"/>
      <c r="CA50" s="1658"/>
      <c r="CB50" s="1658"/>
      <c r="CC50" s="1658"/>
      <c r="CD50" s="1658"/>
      <c r="CE50" s="1658"/>
      <c r="CF50" s="1658"/>
      <c r="CG50" s="1658"/>
      <c r="CH50" s="1658"/>
      <c r="CI50" s="1658"/>
      <c r="CJ50" s="1658"/>
      <c r="CK50" s="1658"/>
      <c r="CL50" s="1658"/>
      <c r="CM50" s="1658"/>
      <c r="CN50" s="1658"/>
      <c r="CO50" s="1658"/>
      <c r="CP50" s="1658"/>
      <c r="CQ50" s="1658"/>
      <c r="CR50" s="1658"/>
      <c r="CS50" s="1658"/>
      <c r="CT50" s="1658"/>
      <c r="CU50" s="1658"/>
      <c r="CV50" s="1658"/>
      <c r="CW50" s="1658"/>
      <c r="CX50" s="1658"/>
      <c r="CY50" s="1658"/>
      <c r="CZ50" s="1658"/>
      <c r="DA50" s="1658"/>
      <c r="DB50" s="1658"/>
      <c r="DC50" s="1658"/>
      <c r="DD50" s="1658"/>
      <c r="DE50" s="1658"/>
      <c r="DF50" s="1658"/>
      <c r="DG50" s="1658"/>
      <c r="DH50" s="1658"/>
      <c r="DI50" s="1658"/>
      <c r="DJ50" s="1658"/>
      <c r="DK50" s="1658"/>
      <c r="DL50" s="1658"/>
      <c r="DM50" s="1658"/>
      <c r="DN50" s="1658"/>
      <c r="DO50" s="1658"/>
      <c r="DP50" s="1658"/>
      <c r="DQ50" s="1658"/>
      <c r="DR50" s="1658"/>
      <c r="DS50" s="1658"/>
      <c r="DT50" s="1658"/>
      <c r="DU50" s="1658"/>
      <c r="DV50" s="1658"/>
      <c r="DW50" s="1658"/>
      <c r="DX50" s="1658"/>
      <c r="DY50" s="1658"/>
      <c r="DZ50" s="1658"/>
      <c r="EA50" s="1658"/>
      <c r="EB50" s="1658"/>
      <c r="EC50" s="1658"/>
      <c r="ED50" s="1658"/>
      <c r="EE50" s="1658"/>
      <c r="EF50" s="1658"/>
      <c r="EG50" s="1658"/>
      <c r="EH50" s="1658"/>
      <c r="EI50" s="1658"/>
      <c r="EJ50" s="1658"/>
      <c r="EK50" s="1658"/>
      <c r="EL50" s="1658"/>
      <c r="EM50" s="1658"/>
      <c r="EN50" s="1658"/>
      <c r="EO50" s="1658"/>
      <c r="EP50" s="1658"/>
      <c r="EQ50" s="1658"/>
      <c r="ER50" s="1658"/>
      <c r="ES50" s="1658"/>
      <c r="ET50" s="1658"/>
      <c r="EU50" s="1658"/>
      <c r="EV50" s="1658"/>
      <c r="EW50" s="1658"/>
      <c r="EX50" s="1658"/>
      <c r="EY50" s="1658"/>
      <c r="EZ50" s="1658"/>
      <c r="FA50" s="1658"/>
      <c r="FB50" s="1658"/>
      <c r="FC50" s="1658"/>
      <c r="FD50" s="1658"/>
      <c r="FE50" s="1658"/>
      <c r="FF50" s="1658"/>
      <c r="FG50" s="1658"/>
      <c r="FH50" s="1658"/>
      <c r="FI50" s="1658"/>
      <c r="FJ50" s="1658"/>
      <c r="FK50" s="1658"/>
      <c r="FL50" s="1658"/>
      <c r="FM50" s="1658"/>
      <c r="FN50" s="1658"/>
      <c r="FO50" s="1658"/>
      <c r="FP50" s="1658"/>
      <c r="FQ50" s="1658"/>
      <c r="FR50" s="1658"/>
      <c r="FS50" s="1658"/>
      <c r="FT50" s="1658"/>
      <c r="FU50" s="1658"/>
      <c r="FV50" s="1658"/>
      <c r="FW50" s="1658"/>
      <c r="FX50" s="1658"/>
      <c r="FY50" s="1658"/>
      <c r="FZ50" s="1658"/>
      <c r="GA50" s="1658"/>
      <c r="GB50" s="1658"/>
      <c r="GC50" s="1658"/>
      <c r="GD50" s="1658"/>
      <c r="GE50" s="1658"/>
      <c r="GF50" s="1658"/>
      <c r="GG50" s="1658"/>
      <c r="GH50" s="1658"/>
      <c r="GI50" s="1658"/>
      <c r="GJ50" s="1658"/>
      <c r="GK50" s="1658"/>
      <c r="GL50" s="1658"/>
      <c r="GM50" s="1658"/>
      <c r="GN50" s="1658"/>
      <c r="GO50" s="1658"/>
      <c r="GP50" s="1658"/>
      <c r="GQ50" s="1658"/>
      <c r="GR50" s="1658"/>
      <c r="GS50" s="1658"/>
      <c r="GT50" s="1658"/>
      <c r="GU50" s="1658"/>
      <c r="GV50" s="1658"/>
      <c r="GW50" s="1658"/>
      <c r="GX50" s="1658"/>
      <c r="GY50" s="1658"/>
      <c r="GZ50" s="1658"/>
      <c r="HA50" s="1658"/>
      <c r="HB50" s="1658"/>
      <c r="HC50" s="1658"/>
      <c r="HD50" s="1658"/>
      <c r="HE50" s="1658"/>
      <c r="HF50" s="1658"/>
      <c r="HG50" s="1658"/>
      <c r="HH50" s="1658"/>
      <c r="HI50" s="1658"/>
      <c r="HJ50" s="1658"/>
      <c r="HK50" s="1658"/>
      <c r="HL50" s="1658"/>
      <c r="HM50" s="1658"/>
      <c r="HN50" s="1658"/>
      <c r="HO50" s="1658"/>
      <c r="HP50" s="1658"/>
      <c r="HQ50" s="1658"/>
      <c r="HR50" s="1658"/>
      <c r="HS50" s="1658"/>
      <c r="HT50" s="1658"/>
      <c r="HU50" s="1658"/>
      <c r="HV50" s="1658"/>
      <c r="HW50" s="1658"/>
      <c r="HX50" s="1658"/>
      <c r="HY50" s="1658"/>
      <c r="HZ50" s="1658"/>
      <c r="IA50" s="1658"/>
      <c r="IB50" s="1658"/>
      <c r="IC50" s="1658"/>
      <c r="ID50" s="1658"/>
      <c r="IE50" s="1658"/>
      <c r="IF50" s="1658"/>
      <c r="IG50" s="1658"/>
      <c r="IH50" s="1658"/>
      <c r="II50" s="1658"/>
      <c r="IJ50" s="1658"/>
      <c r="IK50" s="1658"/>
      <c r="IL50" s="1658"/>
      <c r="IM50" s="1658"/>
      <c r="IN50" s="1658"/>
      <c r="IO50" s="1658"/>
      <c r="IP50" s="1658"/>
      <c r="IQ50" s="1658"/>
      <c r="IR50" s="1658"/>
      <c r="IS50" s="1658"/>
      <c r="IT50" s="1658"/>
      <c r="IU50" s="1658"/>
      <c r="IV50" s="1658"/>
      <c r="IW50" s="1658"/>
      <c r="IX50" s="1658"/>
      <c r="IY50" s="1658"/>
      <c r="IZ50" s="1658"/>
      <c r="JA50" s="1658"/>
      <c r="JB50" s="1658"/>
      <c r="JC50" s="1658"/>
      <c r="JD50" s="1658"/>
      <c r="JE50" s="1658"/>
      <c r="JF50" s="1658"/>
      <c r="JG50" s="1658"/>
      <c r="JH50" s="1658"/>
      <c r="JI50" s="1658"/>
      <c r="JJ50" s="1658"/>
      <c r="JK50" s="1658"/>
      <c r="JL50" s="1658"/>
      <c r="JM50" s="1658"/>
      <c r="JN50" s="1658"/>
      <c r="JO50" s="1658"/>
      <c r="JP50" s="1658"/>
      <c r="JQ50" s="1658"/>
      <c r="JR50" s="1658"/>
      <c r="JS50" s="1658"/>
      <c r="JT50" s="1658"/>
      <c r="JU50" s="1658"/>
      <c r="JV50" s="1658"/>
      <c r="JW50" s="1658"/>
      <c r="JX50" s="1658"/>
      <c r="JY50" s="1658"/>
      <c r="JZ50" s="1658"/>
      <c r="KA50" s="1658"/>
      <c r="KB50" s="1658"/>
      <c r="KC50" s="1658"/>
      <c r="KD50" s="1658"/>
      <c r="KE50" s="1658"/>
      <c r="KF50" s="1658"/>
      <c r="KG50" s="1658"/>
      <c r="KH50" s="1658"/>
      <c r="KI50" s="1658"/>
      <c r="KJ50" s="1658"/>
      <c r="KK50" s="1658"/>
      <c r="KL50" s="1658"/>
      <c r="KM50" s="1658"/>
      <c r="KN50" s="1658"/>
      <c r="KO50" s="1658"/>
      <c r="KP50" s="1658"/>
      <c r="KQ50" s="1658"/>
      <c r="KR50" s="1658"/>
      <c r="KS50" s="1658"/>
      <c r="KT50" s="1658"/>
      <c r="KU50" s="1658"/>
      <c r="KV50" s="1658"/>
      <c r="KW50" s="1658"/>
      <c r="KX50" s="1658"/>
      <c r="KY50" s="1658"/>
      <c r="KZ50" s="1658"/>
      <c r="LA50" s="1658"/>
      <c r="LB50" s="1658"/>
      <c r="LC50" s="1658"/>
      <c r="LD50" s="1658"/>
      <c r="LE50" s="1658"/>
      <c r="LF50" s="1658"/>
      <c r="LG50" s="1658"/>
      <c r="LH50" s="1658"/>
      <c r="LI50" s="1658"/>
      <c r="LJ50" s="1658"/>
      <c r="LK50" s="1658"/>
      <c r="LL50" s="1658"/>
      <c r="LM50" s="1658"/>
      <c r="LN50" s="1658"/>
      <c r="LO50" s="1658"/>
      <c r="LP50" s="1658"/>
      <c r="LQ50" s="1658"/>
      <c r="LR50" s="1658"/>
      <c r="LS50" s="1658"/>
      <c r="LT50" s="1658"/>
      <c r="LU50" s="1658"/>
      <c r="LV50" s="1658"/>
      <c r="LW50" s="1658"/>
      <c r="LX50" s="1658"/>
      <c r="LY50" s="1658"/>
      <c r="LZ50" s="1658"/>
      <c r="MA50" s="1658"/>
      <c r="MB50" s="1658"/>
      <c r="MC50" s="1658"/>
      <c r="MD50" s="1658"/>
      <c r="ME50" s="1658"/>
      <c r="MF50" s="356"/>
      <c r="MG50" s="356"/>
      <c r="MH50" s="356"/>
      <c r="MI50" s="356"/>
      <c r="MJ50" s="356"/>
      <c r="MK50" s="356"/>
      <c r="ML50" s="356"/>
      <c r="MM50" s="356"/>
      <c r="MN50" s="356"/>
      <c r="MO50" s="356"/>
      <c r="MP50" s="356"/>
      <c r="MQ50" s="356"/>
      <c r="MR50" s="356"/>
      <c r="MS50" s="356"/>
      <c r="MT50" s="356"/>
      <c r="NO50" s="356"/>
      <c r="NP50" s="1630" t="s">
        <v>4343</v>
      </c>
      <c r="NQ50" s="2480">
        <v>50</v>
      </c>
    </row>
    <row r="51" spans="1:381" ht="6.95" customHeight="1">
      <c r="A51" s="3473" t="s">
        <v>5026</v>
      </c>
      <c r="B51" s="3474"/>
      <c r="C51" s="3474"/>
      <c r="D51" s="3474"/>
      <c r="E51" s="3474"/>
      <c r="F51" s="3474"/>
      <c r="G51" s="3474"/>
      <c r="H51" s="3474"/>
      <c r="I51" s="3474"/>
      <c r="J51" s="3474"/>
      <c r="K51" s="3474"/>
      <c r="L51" s="3474"/>
      <c r="M51" s="3474"/>
      <c r="N51" s="3474"/>
      <c r="O51" s="3474"/>
      <c r="P51" s="3474"/>
      <c r="Q51" s="3474"/>
      <c r="R51" s="819"/>
      <c r="S51" s="69"/>
      <c r="T51" s="69"/>
      <c r="U51" s="69"/>
      <c r="V51" s="69"/>
      <c r="W51" s="240"/>
      <c r="X51" s="1658"/>
      <c r="Y51" s="1658"/>
      <c r="Z51" s="1658"/>
      <c r="AA51" s="1658"/>
      <c r="AB51" s="1658"/>
      <c r="AC51" s="1658"/>
      <c r="AD51" s="1658"/>
      <c r="AE51" s="1658"/>
      <c r="AF51" s="1658"/>
      <c r="AG51" s="1658"/>
      <c r="AH51" s="1658"/>
      <c r="AI51" s="1658"/>
      <c r="AJ51" s="1658"/>
      <c r="AK51" s="1658"/>
      <c r="AL51" s="1658"/>
      <c r="AM51" s="1658"/>
      <c r="AN51" s="1658"/>
      <c r="AO51" s="1658"/>
      <c r="AP51" s="1658"/>
      <c r="AQ51" s="1658"/>
      <c r="AR51" s="1658"/>
      <c r="AS51" s="1658"/>
      <c r="AT51" s="1658"/>
      <c r="AU51" s="1658"/>
      <c r="AV51" s="1658"/>
      <c r="AW51" s="1658"/>
      <c r="AX51" s="1658"/>
      <c r="AY51" s="1658"/>
      <c r="AZ51" s="1658"/>
      <c r="BA51" s="1658"/>
      <c r="BB51" s="1658"/>
      <c r="BC51" s="1658"/>
      <c r="BD51" s="1658"/>
      <c r="BE51" s="1658"/>
      <c r="BF51" s="1658"/>
      <c r="BG51" s="1658"/>
      <c r="BH51" s="1658"/>
      <c r="BI51" s="1658"/>
      <c r="BJ51" s="1658"/>
      <c r="BK51" s="1658"/>
      <c r="BL51" s="1658"/>
      <c r="BM51" s="1658"/>
      <c r="BN51" s="1658"/>
      <c r="BO51" s="1658"/>
      <c r="BP51" s="1658"/>
      <c r="BQ51" s="1658"/>
      <c r="BR51" s="1658"/>
      <c r="BS51" s="1658"/>
      <c r="BT51" s="1658"/>
      <c r="BU51" s="1658"/>
      <c r="BV51" s="1658"/>
      <c r="BW51" s="1658"/>
      <c r="BX51" s="1658"/>
      <c r="BY51" s="1658"/>
      <c r="BZ51" s="1658"/>
      <c r="CA51" s="1658"/>
      <c r="CB51" s="1658"/>
      <c r="CC51" s="1658"/>
      <c r="CD51" s="1658"/>
      <c r="CE51" s="1658"/>
      <c r="CF51" s="1658"/>
      <c r="CG51" s="1658"/>
      <c r="CH51" s="1658"/>
      <c r="CI51" s="1658"/>
      <c r="CJ51" s="1658"/>
      <c r="CK51" s="1658"/>
      <c r="CL51" s="1658"/>
      <c r="CM51" s="1658"/>
      <c r="CN51" s="1658"/>
      <c r="CO51" s="1658"/>
      <c r="CP51" s="1658"/>
      <c r="CQ51" s="1658"/>
      <c r="CR51" s="1658"/>
      <c r="CS51" s="1658"/>
      <c r="CT51" s="1658"/>
      <c r="CU51" s="1658"/>
      <c r="CV51" s="1658"/>
      <c r="CW51" s="1658"/>
      <c r="CX51" s="1658"/>
      <c r="CY51" s="1658"/>
      <c r="CZ51" s="1658"/>
      <c r="DA51" s="1658"/>
      <c r="DB51" s="1658"/>
      <c r="DC51" s="1658"/>
      <c r="DD51" s="1658"/>
      <c r="DE51" s="1658"/>
      <c r="DF51" s="1658"/>
      <c r="DG51" s="1658"/>
      <c r="DH51" s="1658"/>
      <c r="DI51" s="1658"/>
      <c r="DJ51" s="1658"/>
      <c r="DK51" s="1658"/>
      <c r="DL51" s="1658"/>
      <c r="DM51" s="1658"/>
      <c r="DN51" s="1658"/>
      <c r="DO51" s="1658"/>
      <c r="DP51" s="1658"/>
      <c r="DQ51" s="1658"/>
      <c r="DR51" s="1658"/>
      <c r="DS51" s="1658"/>
      <c r="DT51" s="1658"/>
      <c r="DU51" s="1658"/>
      <c r="DV51" s="1658"/>
      <c r="DW51" s="1658"/>
      <c r="DX51" s="1658"/>
      <c r="DY51" s="1658"/>
      <c r="DZ51" s="1658"/>
      <c r="EA51" s="1658"/>
      <c r="EB51" s="1658"/>
      <c r="EC51" s="1658"/>
      <c r="ED51" s="1658"/>
      <c r="EE51" s="1658"/>
      <c r="EF51" s="1658"/>
      <c r="EG51" s="1658"/>
      <c r="EH51" s="1658"/>
      <c r="EI51" s="1658"/>
      <c r="EJ51" s="1658"/>
      <c r="EK51" s="1658"/>
      <c r="EL51" s="1658"/>
      <c r="EM51" s="1658"/>
      <c r="EN51" s="1658"/>
      <c r="EO51" s="1658"/>
      <c r="EP51" s="1658"/>
      <c r="EQ51" s="1658"/>
      <c r="ER51" s="1658"/>
      <c r="ES51" s="1658"/>
      <c r="ET51" s="1658"/>
      <c r="EU51" s="1658"/>
      <c r="EV51" s="1658"/>
      <c r="EW51" s="1658"/>
      <c r="EX51" s="1658"/>
      <c r="EY51" s="1658"/>
      <c r="EZ51" s="1658"/>
      <c r="FA51" s="1658"/>
      <c r="FB51" s="1658"/>
      <c r="FC51" s="1658"/>
      <c r="FD51" s="1658"/>
      <c r="FE51" s="1658"/>
      <c r="FF51" s="1658"/>
      <c r="FG51" s="1658"/>
      <c r="FH51" s="1658"/>
      <c r="FI51" s="1658"/>
      <c r="FJ51" s="1658"/>
      <c r="FK51" s="1658"/>
      <c r="FL51" s="1658"/>
      <c r="FM51" s="1658"/>
      <c r="FN51" s="1658"/>
      <c r="FO51" s="1658"/>
      <c r="FP51" s="1658"/>
      <c r="FQ51" s="1658"/>
      <c r="FR51" s="1658"/>
      <c r="FS51" s="1658"/>
      <c r="FT51" s="1658"/>
      <c r="FU51" s="1658"/>
      <c r="FV51" s="1658"/>
      <c r="FW51" s="1658"/>
      <c r="FX51" s="1658"/>
      <c r="FY51" s="1658"/>
      <c r="FZ51" s="1658"/>
      <c r="GA51" s="1658"/>
      <c r="GB51" s="1658"/>
      <c r="GC51" s="1658"/>
      <c r="GD51" s="1658"/>
      <c r="GE51" s="1658"/>
      <c r="GF51" s="1658"/>
      <c r="GG51" s="1658"/>
      <c r="GH51" s="1658"/>
      <c r="GI51" s="1658"/>
      <c r="GJ51" s="1658"/>
      <c r="GK51" s="1658"/>
      <c r="GL51" s="1658"/>
      <c r="GM51" s="1658"/>
      <c r="GN51" s="1658"/>
      <c r="GO51" s="1658"/>
      <c r="GP51" s="1658"/>
      <c r="GQ51" s="1658"/>
      <c r="GR51" s="1658"/>
      <c r="GS51" s="1658"/>
      <c r="GT51" s="1658"/>
      <c r="GU51" s="1658"/>
      <c r="GV51" s="1658"/>
      <c r="GW51" s="1658"/>
      <c r="GX51" s="1658"/>
      <c r="GY51" s="1658"/>
      <c r="GZ51" s="1658"/>
      <c r="HA51" s="1658"/>
      <c r="HB51" s="1658"/>
      <c r="HC51" s="1658"/>
      <c r="HD51" s="1658"/>
      <c r="HE51" s="1658"/>
      <c r="HF51" s="1658"/>
      <c r="HG51" s="1658"/>
      <c r="HH51" s="1658"/>
      <c r="HI51" s="1658"/>
      <c r="HJ51" s="1658"/>
      <c r="HK51" s="1658"/>
      <c r="HL51" s="1658"/>
      <c r="HM51" s="1658"/>
      <c r="HN51" s="1658"/>
      <c r="HO51" s="1658"/>
      <c r="HP51" s="1658"/>
      <c r="HQ51" s="1658"/>
      <c r="HR51" s="1658"/>
      <c r="HS51" s="1658"/>
      <c r="HT51" s="1658"/>
      <c r="HU51" s="1658"/>
      <c r="HV51" s="1658"/>
      <c r="HW51" s="1658"/>
      <c r="HX51" s="1658"/>
      <c r="HY51" s="1658"/>
      <c r="HZ51" s="1658"/>
      <c r="IA51" s="1658"/>
      <c r="IB51" s="1658"/>
      <c r="IC51" s="1658"/>
      <c r="ID51" s="1658"/>
      <c r="IE51" s="1658"/>
      <c r="IF51" s="1658"/>
      <c r="IG51" s="1658"/>
      <c r="IH51" s="1658"/>
      <c r="II51" s="1658"/>
      <c r="IJ51" s="1658"/>
      <c r="IK51" s="1658"/>
      <c r="IL51" s="1658"/>
      <c r="IM51" s="1658"/>
      <c r="IN51" s="1658"/>
      <c r="IO51" s="1658"/>
      <c r="IP51" s="1658"/>
      <c r="IQ51" s="1658"/>
      <c r="IR51" s="1658"/>
      <c r="IS51" s="1658"/>
      <c r="IT51" s="1658"/>
      <c r="IU51" s="1658"/>
      <c r="IV51" s="1658"/>
      <c r="IW51" s="1658"/>
      <c r="IX51" s="1658"/>
      <c r="IY51" s="1658"/>
      <c r="IZ51" s="1658"/>
      <c r="JA51" s="1658"/>
      <c r="JB51" s="1658"/>
      <c r="JC51" s="1658"/>
      <c r="JD51" s="1658"/>
      <c r="JE51" s="1658"/>
      <c r="JF51" s="1658"/>
      <c r="JG51" s="1658"/>
      <c r="JH51" s="1658"/>
      <c r="JI51" s="1658"/>
      <c r="JJ51" s="1658"/>
      <c r="JK51" s="1658"/>
      <c r="JL51" s="1658"/>
      <c r="JM51" s="1658"/>
      <c r="JN51" s="1658"/>
      <c r="JO51" s="1658"/>
      <c r="JP51" s="1658"/>
      <c r="JQ51" s="1658"/>
      <c r="JR51" s="1658"/>
      <c r="JS51" s="1658"/>
      <c r="JT51" s="1658"/>
      <c r="JU51" s="1658"/>
      <c r="JV51" s="1658"/>
      <c r="JW51" s="1658"/>
      <c r="JX51" s="1658"/>
      <c r="JY51" s="1658"/>
      <c r="JZ51" s="1658"/>
      <c r="KA51" s="1658"/>
      <c r="KB51" s="1658"/>
      <c r="KC51" s="1658"/>
      <c r="KD51" s="1658"/>
      <c r="KE51" s="1658"/>
      <c r="KF51" s="1658"/>
      <c r="KG51" s="1658"/>
      <c r="KH51" s="1658"/>
      <c r="KI51" s="1658"/>
      <c r="KJ51" s="1658"/>
      <c r="KK51" s="1658"/>
      <c r="KL51" s="1658"/>
      <c r="KM51" s="1658"/>
      <c r="KN51" s="1658"/>
      <c r="KO51" s="1658"/>
      <c r="KP51" s="1658"/>
      <c r="KQ51" s="1658"/>
      <c r="KR51" s="1658"/>
      <c r="KS51" s="1658"/>
      <c r="KT51" s="1658"/>
      <c r="KU51" s="1658"/>
      <c r="KV51" s="1658"/>
      <c r="KW51" s="1658"/>
      <c r="KX51" s="1658"/>
      <c r="KY51" s="1658"/>
      <c r="KZ51" s="1658"/>
      <c r="LA51" s="1658"/>
      <c r="LB51" s="1658"/>
      <c r="LC51" s="1658"/>
      <c r="LD51" s="1658"/>
      <c r="LE51" s="1658"/>
      <c r="LF51" s="1658"/>
      <c r="LG51" s="1658"/>
      <c r="LH51" s="1658"/>
      <c r="LI51" s="1658"/>
      <c r="LJ51" s="1658"/>
      <c r="LK51" s="1658"/>
      <c r="LL51" s="1658"/>
      <c r="LM51" s="1658"/>
      <c r="LN51" s="1658"/>
      <c r="LO51" s="1658"/>
      <c r="LP51" s="1658"/>
      <c r="LQ51" s="1658"/>
      <c r="LR51" s="1658"/>
      <c r="LS51" s="1658"/>
      <c r="LT51" s="1658"/>
      <c r="LU51" s="1658"/>
      <c r="LV51" s="1658"/>
      <c r="LW51" s="1658"/>
      <c r="LX51" s="1658"/>
      <c r="LY51" s="1658"/>
      <c r="LZ51" s="1658"/>
      <c r="MA51" s="1658"/>
      <c r="MB51" s="1658"/>
      <c r="MC51" s="1658"/>
      <c r="MD51" s="1658"/>
      <c r="ME51" s="1658"/>
      <c r="NQ51" s="2480">
        <v>51</v>
      </c>
    </row>
    <row r="52" spans="1:381" ht="7.5" customHeight="1">
      <c r="A52" s="3474"/>
      <c r="B52" s="3474"/>
      <c r="C52" s="3474"/>
      <c r="D52" s="3474"/>
      <c r="E52" s="3474"/>
      <c r="F52" s="3474"/>
      <c r="G52" s="3474"/>
      <c r="H52" s="3474"/>
      <c r="I52" s="3474"/>
      <c r="J52" s="3474"/>
      <c r="K52" s="3474"/>
      <c r="L52" s="3474"/>
      <c r="M52" s="3474"/>
      <c r="N52" s="3474"/>
      <c r="O52" s="3474"/>
      <c r="P52" s="3474"/>
      <c r="Q52" s="3474"/>
      <c r="R52" s="819"/>
      <c r="S52" s="69"/>
      <c r="T52" s="69"/>
      <c r="U52" s="69"/>
      <c r="V52" s="69"/>
      <c r="W52" s="240"/>
      <c r="X52" s="1658"/>
      <c r="Y52" s="1658"/>
      <c r="Z52" s="1658"/>
      <c r="AA52" s="1658"/>
      <c r="AB52" s="1658"/>
      <c r="AC52" s="1658"/>
      <c r="AD52" s="1658"/>
      <c r="AE52" s="1658"/>
      <c r="AF52" s="1658"/>
      <c r="AG52" s="1658"/>
      <c r="AH52" s="1658"/>
      <c r="AI52" s="1658"/>
      <c r="AJ52" s="1658"/>
      <c r="AK52" s="1658"/>
      <c r="AL52" s="1658"/>
      <c r="AM52" s="1658"/>
      <c r="AN52" s="1658"/>
      <c r="AO52" s="1658"/>
      <c r="AP52" s="1658"/>
      <c r="AQ52" s="1658"/>
      <c r="AR52" s="1658"/>
      <c r="AS52" s="1658"/>
      <c r="AT52" s="1658"/>
      <c r="AU52" s="1658"/>
      <c r="AV52" s="1658"/>
      <c r="AW52" s="1658"/>
      <c r="AX52" s="1658"/>
      <c r="AY52" s="1658"/>
      <c r="AZ52" s="1658"/>
      <c r="BA52" s="1658"/>
      <c r="BB52" s="1658"/>
      <c r="BC52" s="1658"/>
      <c r="BD52" s="1658"/>
      <c r="BE52" s="1658"/>
      <c r="BF52" s="1658"/>
      <c r="BG52" s="1658"/>
      <c r="BH52" s="1658"/>
      <c r="BI52" s="1658"/>
      <c r="BJ52" s="1658"/>
      <c r="BK52" s="1658"/>
      <c r="BL52" s="1658"/>
      <c r="BM52" s="1658"/>
      <c r="BN52" s="1658"/>
      <c r="BO52" s="1658"/>
      <c r="BP52" s="1658"/>
      <c r="BQ52" s="1658"/>
      <c r="BR52" s="1658"/>
      <c r="BS52" s="1658"/>
      <c r="BT52" s="1658"/>
      <c r="BU52" s="1658"/>
      <c r="BV52" s="1658"/>
      <c r="BW52" s="1658"/>
      <c r="BX52" s="1658"/>
      <c r="BY52" s="1658"/>
      <c r="BZ52" s="1658"/>
      <c r="CA52" s="1658"/>
      <c r="CB52" s="1658"/>
      <c r="CC52" s="1658"/>
      <c r="CD52" s="1658"/>
      <c r="CE52" s="1658"/>
      <c r="CF52" s="1658"/>
      <c r="CG52" s="1658"/>
      <c r="CH52" s="1658"/>
      <c r="CI52" s="1658"/>
      <c r="CJ52" s="1658"/>
      <c r="CK52" s="1658"/>
      <c r="CL52" s="1658"/>
      <c r="CM52" s="1658"/>
      <c r="CN52" s="1658"/>
      <c r="CO52" s="1658"/>
      <c r="CP52" s="1658"/>
      <c r="CQ52" s="1658"/>
      <c r="CR52" s="1658"/>
      <c r="CS52" s="1658"/>
      <c r="CT52" s="1658"/>
      <c r="CU52" s="1658"/>
      <c r="CV52" s="1658"/>
      <c r="CW52" s="1658"/>
      <c r="CX52" s="1658"/>
      <c r="CY52" s="1658"/>
      <c r="CZ52" s="1658"/>
      <c r="DA52" s="1658"/>
      <c r="DB52" s="1658"/>
      <c r="DC52" s="1658"/>
      <c r="DD52" s="1658"/>
      <c r="DE52" s="1658"/>
      <c r="DF52" s="1658"/>
      <c r="DG52" s="1658"/>
      <c r="DH52" s="1658"/>
      <c r="DI52" s="1658"/>
      <c r="DJ52" s="1658"/>
      <c r="DK52" s="1658"/>
      <c r="DL52" s="1658"/>
      <c r="DM52" s="1658"/>
      <c r="DN52" s="1658"/>
      <c r="DO52" s="1658"/>
      <c r="DP52" s="1658"/>
      <c r="DQ52" s="1658"/>
      <c r="DR52" s="1658"/>
      <c r="DS52" s="1658"/>
      <c r="DT52" s="1658"/>
      <c r="DU52" s="1658"/>
      <c r="DV52" s="1658"/>
      <c r="DW52" s="1658"/>
      <c r="DX52" s="1658"/>
      <c r="DY52" s="1658"/>
      <c r="DZ52" s="1658"/>
      <c r="EA52" s="1658"/>
      <c r="EB52" s="1658"/>
      <c r="EC52" s="1658"/>
      <c r="ED52" s="1658"/>
      <c r="EE52" s="1658"/>
      <c r="EF52" s="1658"/>
      <c r="EG52" s="1658"/>
      <c r="EH52" s="1658"/>
      <c r="EI52" s="1658"/>
      <c r="EJ52" s="1658"/>
      <c r="EK52" s="1658"/>
      <c r="EL52" s="1658"/>
      <c r="EM52" s="1658"/>
      <c r="EN52" s="1658"/>
      <c r="EO52" s="1658"/>
      <c r="EP52" s="1658"/>
      <c r="EQ52" s="1658"/>
      <c r="ER52" s="1658"/>
      <c r="ES52" s="1658"/>
      <c r="ET52" s="1658"/>
      <c r="EU52" s="1658"/>
      <c r="EV52" s="1658"/>
      <c r="EW52" s="1658"/>
      <c r="EX52" s="1658"/>
      <c r="EY52" s="1658"/>
      <c r="EZ52" s="1658"/>
      <c r="FA52" s="1658"/>
      <c r="FB52" s="1658"/>
      <c r="FC52" s="1658"/>
      <c r="FD52" s="1658"/>
      <c r="FE52" s="1658"/>
      <c r="FF52" s="1658"/>
      <c r="FG52" s="1658"/>
      <c r="FH52" s="1658"/>
      <c r="FI52" s="1658"/>
      <c r="FJ52" s="1658"/>
      <c r="FK52" s="1658"/>
      <c r="FL52" s="1658"/>
      <c r="FM52" s="1658"/>
      <c r="FN52" s="1658"/>
      <c r="FO52" s="1658"/>
      <c r="FP52" s="1658"/>
      <c r="FQ52" s="1658"/>
      <c r="FR52" s="1658"/>
      <c r="FS52" s="1658"/>
      <c r="FT52" s="1658"/>
      <c r="FU52" s="1658"/>
      <c r="FV52" s="1658"/>
      <c r="FW52" s="1658"/>
      <c r="FX52" s="1658"/>
      <c r="FY52" s="1658"/>
      <c r="FZ52" s="1658"/>
      <c r="GA52" s="1658"/>
      <c r="GB52" s="1658"/>
      <c r="GC52" s="1658"/>
      <c r="GD52" s="1658"/>
      <c r="GE52" s="1658"/>
      <c r="GF52" s="1658"/>
      <c r="GG52" s="1658"/>
      <c r="GH52" s="1658"/>
      <c r="GI52" s="1658"/>
      <c r="GJ52" s="1658"/>
      <c r="GK52" s="1658"/>
      <c r="GL52" s="1658"/>
      <c r="GM52" s="1658"/>
      <c r="GN52" s="1658"/>
      <c r="GO52" s="1658"/>
      <c r="GP52" s="1658"/>
      <c r="GQ52" s="1658"/>
      <c r="GR52" s="1658"/>
      <c r="GS52" s="1658"/>
      <c r="GT52" s="1658"/>
      <c r="GU52" s="1658"/>
      <c r="GV52" s="1658"/>
      <c r="GW52" s="1658"/>
      <c r="GX52" s="1658"/>
      <c r="GY52" s="1658"/>
      <c r="GZ52" s="1658"/>
      <c r="HA52" s="1658"/>
      <c r="HB52" s="1658"/>
      <c r="HC52" s="1658"/>
      <c r="HD52" s="1658"/>
      <c r="HE52" s="1658"/>
      <c r="HF52" s="1658"/>
      <c r="HG52" s="1658"/>
      <c r="HH52" s="1658"/>
      <c r="HI52" s="1658"/>
      <c r="HJ52" s="1658"/>
      <c r="HK52" s="1658"/>
      <c r="HL52" s="1658"/>
      <c r="HM52" s="1658"/>
      <c r="HN52" s="1658"/>
      <c r="HO52" s="1658"/>
      <c r="HP52" s="1658"/>
      <c r="HQ52" s="1658"/>
      <c r="HR52" s="1658"/>
      <c r="HS52" s="1658"/>
      <c r="HT52" s="1658"/>
      <c r="HU52" s="1658"/>
      <c r="HV52" s="1658"/>
      <c r="HW52" s="1658"/>
      <c r="HX52" s="1658"/>
      <c r="HY52" s="1658"/>
      <c r="HZ52" s="1658"/>
      <c r="IA52" s="1658"/>
      <c r="IB52" s="1658"/>
      <c r="IC52" s="1658"/>
      <c r="ID52" s="1658"/>
      <c r="IE52" s="1658"/>
      <c r="IF52" s="1658"/>
      <c r="IG52" s="1658"/>
      <c r="IH52" s="1658"/>
      <c r="II52" s="1658"/>
      <c r="IJ52" s="1658"/>
      <c r="IK52" s="1658"/>
      <c r="IL52" s="1658"/>
      <c r="IM52" s="1658"/>
      <c r="IN52" s="1658"/>
      <c r="IO52" s="1658"/>
      <c r="IP52" s="1658"/>
      <c r="IQ52" s="1658"/>
      <c r="IR52" s="1658"/>
      <c r="IS52" s="1658"/>
      <c r="IT52" s="1658"/>
      <c r="IU52" s="1658"/>
      <c r="IV52" s="1658"/>
      <c r="IW52" s="1658"/>
      <c r="IX52" s="1658"/>
      <c r="IY52" s="1658"/>
      <c r="IZ52" s="1658"/>
      <c r="JA52" s="1658"/>
      <c r="JB52" s="1658"/>
      <c r="JC52" s="1658"/>
      <c r="JD52" s="1658"/>
      <c r="JE52" s="1658"/>
      <c r="JF52" s="1658"/>
      <c r="JG52" s="1658"/>
      <c r="JH52" s="1658"/>
      <c r="JI52" s="1658"/>
      <c r="JJ52" s="1658"/>
      <c r="JK52" s="1658"/>
      <c r="JL52" s="1658"/>
      <c r="JM52" s="1658"/>
      <c r="JN52" s="1658"/>
      <c r="JO52" s="1658"/>
      <c r="JP52" s="1658"/>
      <c r="JQ52" s="1658"/>
      <c r="JR52" s="1658"/>
      <c r="JS52" s="1658"/>
      <c r="JT52" s="1658"/>
      <c r="JU52" s="1658"/>
      <c r="JV52" s="1658"/>
      <c r="JW52" s="1658"/>
      <c r="JX52" s="1658"/>
      <c r="JY52" s="1658"/>
      <c r="JZ52" s="1658"/>
      <c r="KA52" s="1658"/>
      <c r="KB52" s="1658"/>
      <c r="KC52" s="1658"/>
      <c r="KD52" s="1658"/>
      <c r="KE52" s="1658"/>
      <c r="KF52" s="1658"/>
      <c r="KG52" s="1658"/>
      <c r="KH52" s="1658"/>
      <c r="KI52" s="1658"/>
      <c r="KJ52" s="1658"/>
      <c r="KK52" s="1658"/>
      <c r="KL52" s="1658"/>
      <c r="KM52" s="1658"/>
      <c r="KN52" s="1658"/>
      <c r="KO52" s="1658"/>
      <c r="KP52" s="1658"/>
      <c r="KQ52" s="1658"/>
      <c r="KR52" s="1658"/>
      <c r="KS52" s="1658"/>
      <c r="KT52" s="1658"/>
      <c r="KU52" s="1658"/>
      <c r="KV52" s="1658"/>
      <c r="KW52" s="1658"/>
      <c r="KX52" s="1658"/>
      <c r="KY52" s="1658"/>
      <c r="KZ52" s="1658"/>
      <c r="LA52" s="1658"/>
      <c r="LB52" s="1658"/>
      <c r="LC52" s="1658"/>
      <c r="LD52" s="1658"/>
      <c r="LE52" s="1658"/>
      <c r="LF52" s="1658"/>
      <c r="LG52" s="1658"/>
      <c r="LH52" s="1658"/>
      <c r="LI52" s="1658"/>
      <c r="LJ52" s="1658"/>
      <c r="LK52" s="1658"/>
      <c r="LL52" s="1658"/>
      <c r="LM52" s="1658"/>
      <c r="LN52" s="1658"/>
      <c r="LO52" s="1658"/>
      <c r="LP52" s="1658"/>
      <c r="LQ52" s="1658"/>
      <c r="LR52" s="1658"/>
      <c r="LS52" s="1658"/>
      <c r="LT52" s="1658"/>
      <c r="LU52" s="1658"/>
      <c r="LV52" s="1658"/>
      <c r="LW52" s="1658"/>
      <c r="LX52" s="1658"/>
      <c r="LY52" s="1658"/>
      <c r="LZ52" s="1658"/>
      <c r="MA52" s="1658"/>
      <c r="MB52" s="1658"/>
      <c r="MC52" s="1658"/>
      <c r="MD52" s="1658"/>
      <c r="ME52" s="1658"/>
      <c r="NQ52" s="2480">
        <v>52</v>
      </c>
    </row>
    <row r="53" spans="1:381" ht="14.65" customHeight="1">
      <c r="A53" s="10" t="s">
        <v>688</v>
      </c>
      <c r="B53" s="10" t="s">
        <v>498</v>
      </c>
      <c r="K53" s="1800" t="s">
        <v>4538</v>
      </c>
      <c r="O53" s="3475" t="s">
        <v>5152</v>
      </c>
      <c r="P53" s="3476"/>
      <c r="S53" s="3543" t="str">
        <f>B53</f>
        <v>UNIT SUMMARY</v>
      </c>
      <c r="T53" s="3543"/>
      <c r="U53" s="3543"/>
      <c r="V53" s="3543"/>
      <c r="AY53" s="358"/>
      <c r="BD53" s="358"/>
      <c r="LO53" s="360"/>
      <c r="MD53" s="356"/>
      <c r="NQ53" s="2481">
        <v>53</v>
      </c>
    </row>
    <row r="54" spans="1:381" ht="14.25" customHeight="1">
      <c r="A54" s="10"/>
      <c r="B54" s="10"/>
      <c r="K54" s="144" t="s">
        <v>4540</v>
      </c>
      <c r="O54" s="3544" t="s">
        <v>5153</v>
      </c>
      <c r="P54" s="3545"/>
      <c r="S54" s="95"/>
      <c r="T54" s="95"/>
      <c r="U54" s="367"/>
      <c r="AY54" s="358"/>
      <c r="BD54" s="358"/>
      <c r="LO54" s="360"/>
      <c r="MD54" s="356"/>
      <c r="NQ54" s="2480">
        <v>54</v>
      </c>
    </row>
    <row r="55" spans="1:381" ht="14.65" customHeight="1">
      <c r="A55" s="10"/>
      <c r="B55" s="10" t="s">
        <v>4392</v>
      </c>
      <c r="H55" s="62" t="s">
        <v>974</v>
      </c>
      <c r="I55" s="62"/>
      <c r="J55" s="62"/>
      <c r="K55" s="1799" t="s">
        <v>525</v>
      </c>
      <c r="L55" s="91" t="s">
        <v>499</v>
      </c>
      <c r="M55" s="91" t="s">
        <v>500</v>
      </c>
      <c r="N55" s="91" t="s">
        <v>501</v>
      </c>
      <c r="O55" s="91" t="s">
        <v>502</v>
      </c>
      <c r="P55" s="91" t="s">
        <v>503</v>
      </c>
      <c r="S55" s="10" t="s">
        <v>1706</v>
      </c>
      <c r="T55" s="10"/>
      <c r="U55" s="367"/>
      <c r="AR55" s="1806"/>
      <c r="AS55" s="1806"/>
      <c r="AT55" s="1806"/>
      <c r="AU55" s="1806"/>
      <c r="AV55" s="1806"/>
      <c r="AW55" s="1806"/>
      <c r="AY55" s="358"/>
      <c r="BB55" s="1806"/>
      <c r="BD55" s="358"/>
      <c r="LO55" s="360"/>
      <c r="MD55" s="356"/>
      <c r="NQ55" s="2478">
        <v>55</v>
      </c>
    </row>
    <row r="56" spans="1:381" ht="15" customHeight="1">
      <c r="A56" s="3546" t="s">
        <v>3946</v>
      </c>
      <c r="B56" s="3546"/>
      <c r="C56" s="72" t="s">
        <v>1068</v>
      </c>
      <c r="D56" s="1"/>
      <c r="E56" s="1"/>
      <c r="F56" s="1"/>
      <c r="G56" s="62"/>
      <c r="H56" s="81" t="s">
        <v>3558</v>
      </c>
      <c r="I56" s="29"/>
      <c r="J56" s="62"/>
      <c r="K56" s="1065">
        <f>X49</f>
        <v>0</v>
      </c>
      <c r="L56" s="1066">
        <f>Y49</f>
        <v>0</v>
      </c>
      <c r="M56" s="1066">
        <f>Z49</f>
        <v>0</v>
      </c>
      <c r="N56" s="1066">
        <f>AA49</f>
        <v>0</v>
      </c>
      <c r="O56" s="1067">
        <f>AB49</f>
        <v>0</v>
      </c>
      <c r="P56" s="736">
        <f t="shared" ref="P56:P67" si="344">SUM(K56:O56)</f>
        <v>0</v>
      </c>
      <c r="Q56" s="3547" t="s">
        <v>3100</v>
      </c>
      <c r="R56" s="876"/>
      <c r="S56" s="3477"/>
      <c r="T56" s="3478"/>
      <c r="U56" s="3478"/>
      <c r="V56" s="3478"/>
      <c r="W56" s="347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0">
        <v>56</v>
      </c>
    </row>
    <row r="57" spans="1:381" ht="15" customHeight="1">
      <c r="A57" s="3546"/>
      <c r="B57" s="3546"/>
      <c r="C57" s="72"/>
      <c r="D57" s="1"/>
      <c r="E57" s="1"/>
      <c r="F57" s="1"/>
      <c r="G57" s="62"/>
      <c r="H57" s="81" t="s">
        <v>3559</v>
      </c>
      <c r="I57" s="29"/>
      <c r="J57" s="62"/>
      <c r="K57" s="1068">
        <f>AC49</f>
        <v>0</v>
      </c>
      <c r="L57" s="1069">
        <f>AD49</f>
        <v>0</v>
      </c>
      <c r="M57" s="1069">
        <f>AE49</f>
        <v>0</v>
      </c>
      <c r="N57" s="1069">
        <f>AF49</f>
        <v>0</v>
      </c>
      <c r="O57" s="1070">
        <f>AG49</f>
        <v>0</v>
      </c>
      <c r="P57" s="732">
        <f t="shared" si="344"/>
        <v>0</v>
      </c>
      <c r="Q57" s="3547"/>
      <c r="R57" s="876"/>
      <c r="S57" s="3453"/>
      <c r="T57" s="3454"/>
      <c r="U57" s="3454"/>
      <c r="V57" s="3454"/>
      <c r="W57" s="3455"/>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0">
        <v>57</v>
      </c>
    </row>
    <row r="58" spans="1:381" ht="15" customHeight="1">
      <c r="A58" s="3546"/>
      <c r="B58" s="3546"/>
      <c r="C58" s="72"/>
      <c r="D58" s="1"/>
      <c r="E58" s="1"/>
      <c r="F58" s="1"/>
      <c r="G58" s="62"/>
      <c r="H58" s="81" t="s">
        <v>1080</v>
      </c>
      <c r="I58" s="29"/>
      <c r="J58" s="62"/>
      <c r="K58" s="1068">
        <f>AH49</f>
        <v>0</v>
      </c>
      <c r="L58" s="1069">
        <f>AI49</f>
        <v>9</v>
      </c>
      <c r="M58" s="1069">
        <f>AJ49</f>
        <v>19</v>
      </c>
      <c r="N58" s="1069">
        <f>AK49</f>
        <v>19</v>
      </c>
      <c r="O58" s="1070">
        <f>AL49</f>
        <v>0</v>
      </c>
      <c r="P58" s="732">
        <f t="shared" si="344"/>
        <v>47</v>
      </c>
      <c r="Q58" s="3547"/>
      <c r="R58" s="876"/>
      <c r="S58" s="3453"/>
      <c r="T58" s="3454"/>
      <c r="U58" s="3454"/>
      <c r="V58" s="3454"/>
      <c r="W58" s="3455"/>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78">
        <v>58</v>
      </c>
    </row>
    <row r="59" spans="1:381" ht="15" customHeight="1">
      <c r="A59" s="3546"/>
      <c r="B59" s="3546"/>
      <c r="C59" s="72"/>
      <c r="D59" s="1"/>
      <c r="E59" s="1"/>
      <c r="F59" s="1"/>
      <c r="G59" s="62"/>
      <c r="H59" s="81" t="s">
        <v>112</v>
      </c>
      <c r="I59" s="29"/>
      <c r="J59" s="899"/>
      <c r="K59" s="1089">
        <f>AM49</f>
        <v>0</v>
      </c>
      <c r="L59" s="1090">
        <f>AN49</f>
        <v>3</v>
      </c>
      <c r="M59" s="1090">
        <f>AO49</f>
        <v>5</v>
      </c>
      <c r="N59" s="1090">
        <f>AP49</f>
        <v>5</v>
      </c>
      <c r="O59" s="1091">
        <f>AQ49</f>
        <v>0</v>
      </c>
      <c r="P59" s="465">
        <f t="shared" si="344"/>
        <v>13</v>
      </c>
      <c r="Q59" s="3547"/>
      <c r="R59" s="876"/>
      <c r="S59" s="3453"/>
      <c r="T59" s="3454"/>
      <c r="U59" s="3454"/>
      <c r="V59" s="3454"/>
      <c r="W59" s="3455"/>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0">
        <v>59</v>
      </c>
    </row>
    <row r="60" spans="1:381" ht="15" customHeight="1">
      <c r="A60" s="3546"/>
      <c r="B60" s="3546"/>
      <c r="C60" s="72"/>
      <c r="D60" s="1"/>
      <c r="E60" s="1"/>
      <c r="F60" s="1"/>
      <c r="G60" s="62"/>
      <c r="H60" s="81" t="s">
        <v>3560</v>
      </c>
      <c r="I60" s="29"/>
      <c r="J60" s="899"/>
      <c r="K60" s="1068">
        <f>AR49</f>
        <v>0</v>
      </c>
      <c r="L60" s="1069">
        <f>AS49</f>
        <v>0</v>
      </c>
      <c r="M60" s="1069">
        <f>AT49</f>
        <v>0</v>
      </c>
      <c r="N60" s="1069">
        <f>AU49</f>
        <v>0</v>
      </c>
      <c r="O60" s="1070">
        <f>AV49</f>
        <v>0</v>
      </c>
      <c r="P60" s="732">
        <f t="shared" si="344"/>
        <v>0</v>
      </c>
      <c r="Q60" s="3547"/>
      <c r="R60" s="876"/>
      <c r="S60" s="3453"/>
      <c r="T60" s="3454"/>
      <c r="U60" s="3454"/>
      <c r="V60" s="3454"/>
      <c r="W60" s="3455"/>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0">
        <v>60</v>
      </c>
    </row>
    <row r="61" spans="1:381" ht="15" customHeight="1">
      <c r="A61" s="3546"/>
      <c r="B61" s="3546"/>
      <c r="C61" s="72"/>
      <c r="D61" s="1"/>
      <c r="E61" s="1"/>
      <c r="F61" s="1"/>
      <c r="G61" s="62"/>
      <c r="H61" s="81" t="s">
        <v>3561</v>
      </c>
      <c r="I61" s="29"/>
      <c r="J61" s="62"/>
      <c r="K61" s="1068">
        <f>AW49</f>
        <v>0</v>
      </c>
      <c r="L61" s="1069">
        <f>AX49</f>
        <v>0</v>
      </c>
      <c r="M61" s="1069">
        <f>AY49</f>
        <v>0</v>
      </c>
      <c r="N61" s="1069">
        <f>AZ49</f>
        <v>0</v>
      </c>
      <c r="O61" s="1070">
        <f>BA49</f>
        <v>0</v>
      </c>
      <c r="P61" s="732">
        <f t="shared" si="344"/>
        <v>0</v>
      </c>
      <c r="Q61" s="3547"/>
      <c r="R61" s="876"/>
      <c r="S61" s="3453"/>
      <c r="T61" s="3454"/>
      <c r="U61" s="3454"/>
      <c r="V61" s="3454"/>
      <c r="W61" s="3455"/>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0">
        <v>61</v>
      </c>
    </row>
    <row r="62" spans="1:381" ht="15" customHeight="1">
      <c r="A62" s="3546"/>
      <c r="B62" s="3546"/>
      <c r="C62" s="4"/>
      <c r="D62" s="1"/>
      <c r="E62" s="1"/>
      <c r="F62" s="1"/>
      <c r="G62" s="62"/>
      <c r="H62" s="81" t="s">
        <v>3562</v>
      </c>
      <c r="I62" s="29"/>
      <c r="J62" s="62"/>
      <c r="K62" s="1071">
        <f>BB49</f>
        <v>0</v>
      </c>
      <c r="L62" s="1072">
        <f>BC49</f>
        <v>0</v>
      </c>
      <c r="M62" s="1072">
        <f>BD49</f>
        <v>0</v>
      </c>
      <c r="N62" s="1072">
        <f>BE49</f>
        <v>0</v>
      </c>
      <c r="O62" s="1073">
        <f>BF49</f>
        <v>0</v>
      </c>
      <c r="P62" s="465">
        <f t="shared" si="344"/>
        <v>0</v>
      </c>
      <c r="Q62" s="3547"/>
      <c r="R62" s="876"/>
      <c r="S62" s="3453"/>
      <c r="T62" s="3454"/>
      <c r="U62" s="3454"/>
      <c r="V62" s="3454"/>
      <c r="W62" s="3455"/>
      <c r="X62" s="1656"/>
      <c r="AA62" s="358"/>
      <c r="AB62" s="361"/>
      <c r="AC62" s="1656"/>
      <c r="AF62" s="358"/>
      <c r="AG62" s="361"/>
      <c r="AH62" s="1656"/>
      <c r="AK62" s="358"/>
      <c r="AL62" s="361"/>
      <c r="AM62" s="1656"/>
      <c r="AP62" s="358"/>
      <c r="AQ62" s="361"/>
      <c r="AR62" s="362"/>
      <c r="AS62" s="362"/>
      <c r="AT62" s="362"/>
      <c r="AU62" s="362"/>
      <c r="AV62" s="362"/>
      <c r="AW62" s="362"/>
      <c r="AX62" s="361"/>
      <c r="AY62" s="358"/>
      <c r="BB62" s="362"/>
      <c r="BC62" s="361"/>
      <c r="BD62" s="358"/>
      <c r="LO62" s="360"/>
      <c r="MD62" s="356"/>
      <c r="NQ62" s="2480">
        <v>62</v>
      </c>
    </row>
    <row r="63" spans="1:381" ht="15" customHeight="1">
      <c r="A63" s="3546"/>
      <c r="B63" s="3546"/>
      <c r="C63" s="81" t="s">
        <v>3644</v>
      </c>
      <c r="D63" s="1"/>
      <c r="E63" s="1"/>
      <c r="F63" s="1"/>
      <c r="G63" s="62"/>
      <c r="H63" s="68"/>
      <c r="I63" s="44"/>
      <c r="J63" s="62"/>
      <c r="K63" s="1033">
        <f>SUM(K56:K62)</f>
        <v>0</v>
      </c>
      <c r="L63" s="1033">
        <f>SUM(L56:L62)</f>
        <v>12</v>
      </c>
      <c r="M63" s="1033">
        <f>SUM(M56:M62)</f>
        <v>24</v>
      </c>
      <c r="N63" s="1033">
        <f>SUM(N56:N62)</f>
        <v>24</v>
      </c>
      <c r="O63" s="1033">
        <f>SUM(O56:O62)</f>
        <v>0</v>
      </c>
      <c r="P63" s="1033">
        <f t="shared" si="344"/>
        <v>60</v>
      </c>
      <c r="Q63" s="3474"/>
      <c r="S63" s="3453"/>
      <c r="T63" s="3454"/>
      <c r="U63" s="3454"/>
      <c r="V63" s="3454"/>
      <c r="W63" s="3455"/>
      <c r="X63" s="1656"/>
      <c r="AA63" s="358"/>
      <c r="AB63" s="361"/>
      <c r="AC63" s="1656"/>
      <c r="AF63" s="358"/>
      <c r="AG63" s="361"/>
      <c r="AH63" s="1656"/>
      <c r="AK63" s="358"/>
      <c r="AL63" s="361"/>
      <c r="AM63" s="1656"/>
      <c r="AP63" s="358"/>
      <c r="AQ63" s="361"/>
      <c r="AR63" s="362"/>
      <c r="AS63" s="362"/>
      <c r="AT63" s="362"/>
      <c r="AU63" s="362"/>
      <c r="AV63" s="362"/>
      <c r="AW63" s="362"/>
      <c r="AX63" s="361"/>
      <c r="AY63" s="358"/>
      <c r="BB63" s="362"/>
      <c r="BC63" s="361"/>
      <c r="BD63" s="358"/>
      <c r="LO63" s="360"/>
      <c r="MD63" s="356"/>
      <c r="NQ63" s="2480">
        <v>63</v>
      </c>
    </row>
    <row r="64" spans="1:381" ht="15" customHeight="1">
      <c r="A64" s="3546"/>
      <c r="B64" s="3546"/>
      <c r="D64" s="1"/>
      <c r="E64" s="1"/>
      <c r="F64" s="1"/>
      <c r="G64" s="62"/>
      <c r="H64" s="81" t="s">
        <v>290</v>
      </c>
      <c r="I64" s="29"/>
      <c r="J64" s="62"/>
      <c r="K64" s="733">
        <f>BG49</f>
        <v>0</v>
      </c>
      <c r="L64" s="733">
        <f>BH49</f>
        <v>4</v>
      </c>
      <c r="M64" s="733">
        <f>BI49</f>
        <v>8</v>
      </c>
      <c r="N64" s="733">
        <f>BJ49</f>
        <v>8</v>
      </c>
      <c r="O64" s="733">
        <f>BK49</f>
        <v>0</v>
      </c>
      <c r="P64" s="733">
        <f t="shared" si="344"/>
        <v>20</v>
      </c>
      <c r="S64" s="3453"/>
      <c r="T64" s="3454"/>
      <c r="U64" s="3454"/>
      <c r="V64" s="3454"/>
      <c r="W64" s="3455"/>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1">
        <v>64</v>
      </c>
    </row>
    <row r="65" spans="1:485" ht="15" customHeight="1">
      <c r="A65" s="3546"/>
      <c r="B65" s="3546"/>
      <c r="C65" s="1038" t="s">
        <v>1069</v>
      </c>
      <c r="D65" s="1038"/>
      <c r="E65" s="1038"/>
      <c r="F65" s="1038"/>
      <c r="G65" s="1039"/>
      <c r="H65" s="1375"/>
      <c r="I65" s="42"/>
      <c r="J65" s="1039"/>
      <c r="K65" s="1040">
        <f>SUM(K63:K64)</f>
        <v>0</v>
      </c>
      <c r="L65" s="1040">
        <f>SUM(L63:L64)</f>
        <v>16</v>
      </c>
      <c r="M65" s="1040">
        <f>SUM(M63:M64)</f>
        <v>32</v>
      </c>
      <c r="N65" s="1040">
        <f>SUM(N63:N64)</f>
        <v>32</v>
      </c>
      <c r="O65" s="1040">
        <f>SUM(O63:O64)</f>
        <v>0</v>
      </c>
      <c r="P65" s="1040">
        <f t="shared" si="344"/>
        <v>80</v>
      </c>
      <c r="S65" s="3453"/>
      <c r="T65" s="3454"/>
      <c r="U65" s="3454"/>
      <c r="V65" s="3454"/>
      <c r="W65" s="3455"/>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0">
        <v>65</v>
      </c>
    </row>
    <row r="66" spans="1:485" ht="15" customHeight="1">
      <c r="A66" s="3546"/>
      <c r="B66" s="3546"/>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3"/>
      <c r="T66" s="3454"/>
      <c r="U66" s="3454"/>
      <c r="V66" s="3454"/>
      <c r="W66" s="3455"/>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78">
        <v>66</v>
      </c>
    </row>
    <row r="67" spans="1:485" ht="15" customHeight="1">
      <c r="A67" s="3546"/>
      <c r="B67" s="3546"/>
      <c r="C67" s="4" t="s">
        <v>1662</v>
      </c>
      <c r="D67" s="1"/>
      <c r="E67" s="1"/>
      <c r="F67" s="1"/>
      <c r="G67" s="62"/>
      <c r="H67" s="81"/>
      <c r="I67" s="29"/>
      <c r="J67" s="62"/>
      <c r="K67" s="1032">
        <f>SUM(K65:K66)</f>
        <v>0</v>
      </c>
      <c r="L67" s="1032">
        <f>SUM(L65:L66)</f>
        <v>16</v>
      </c>
      <c r="M67" s="1032">
        <f>SUM(M65:M66)</f>
        <v>32</v>
      </c>
      <c r="N67" s="1032">
        <f>SUM(N65:N66)</f>
        <v>32</v>
      </c>
      <c r="O67" s="1032">
        <f>SUM(O65:O66)</f>
        <v>0</v>
      </c>
      <c r="P67" s="1032">
        <f t="shared" si="344"/>
        <v>80</v>
      </c>
      <c r="S67" s="3466"/>
      <c r="T67" s="3467"/>
      <c r="U67" s="3467"/>
      <c r="V67" s="3467"/>
      <c r="W67" s="3468"/>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0">
        <v>67</v>
      </c>
    </row>
    <row r="68" spans="1:485" ht="16.149999999999999" customHeight="1">
      <c r="A68" s="3546"/>
      <c r="B68" s="3546"/>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0">
        <v>68</v>
      </c>
    </row>
    <row r="69" spans="1:485" ht="12" customHeight="1">
      <c r="A69" s="3546"/>
      <c r="B69" s="3546"/>
      <c r="C69" s="3548" t="s">
        <v>3652</v>
      </c>
      <c r="D69" s="3548"/>
      <c r="E69" s="3548"/>
      <c r="F69" s="354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78">
        <v>69</v>
      </c>
    </row>
    <row r="70" spans="1:485" customFormat="1" ht="13.15" customHeight="1">
      <c r="A70" s="3546"/>
      <c r="B70" s="3546"/>
      <c r="C70" s="3548"/>
      <c r="D70" s="3548"/>
      <c r="E70" s="3548"/>
      <c r="F70" s="3548"/>
      <c r="G70" s="6"/>
      <c r="H70" s="81" t="s">
        <v>3558</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3940</v>
      </c>
      <c r="S70" s="3477"/>
      <c r="T70" s="3478"/>
      <c r="U70" s="3478"/>
      <c r="V70" s="3478"/>
      <c r="W70" s="347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0"/>
      <c r="NQ70" s="2480">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6"/>
      <c r="B71" s="3546"/>
      <c r="C71" s="655"/>
      <c r="D71" s="6"/>
      <c r="E71" s="6"/>
      <c r="F71" s="6"/>
      <c r="G71" s="6"/>
      <c r="H71" s="81" t="s">
        <v>4385</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3"/>
      <c r="T71" s="3454"/>
      <c r="U71" s="3454"/>
      <c r="V71" s="3454"/>
      <c r="W71" s="3455"/>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0"/>
      <c r="NQ71" s="2480">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6"/>
      <c r="B72" s="3546"/>
      <c r="C72" s="655"/>
      <c r="D72" s="6"/>
      <c r="E72" s="6"/>
      <c r="F72" s="6"/>
      <c r="G72" s="1419"/>
      <c r="H72" s="1377" t="s">
        <v>4386</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3"/>
      <c r="T72" s="3454"/>
      <c r="U72" s="3454"/>
      <c r="V72" s="3454"/>
      <c r="W72" s="3455"/>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0"/>
      <c r="NQ72" s="2480">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6"/>
      <c r="B73" s="3546"/>
      <c r="C73" s="655"/>
      <c r="D73" s="3549" t="s">
        <v>3939</v>
      </c>
      <c r="E73" s="3549"/>
      <c r="F73" s="3549"/>
      <c r="G73" s="6"/>
      <c r="H73" s="81" t="s">
        <v>3559</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3"/>
      <c r="T73" s="3454"/>
      <c r="U73" s="3454"/>
      <c r="V73" s="3454"/>
      <c r="W73" s="3455"/>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0"/>
      <c r="NQ73" s="2480">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9"/>
      <c r="E74" s="3549"/>
      <c r="F74" s="3549"/>
      <c r="G74" s="6"/>
      <c r="H74" s="81" t="s">
        <v>4385</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3"/>
      <c r="T74" s="3454"/>
      <c r="U74" s="3454"/>
      <c r="V74" s="3454"/>
      <c r="W74" s="3455"/>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0"/>
      <c r="NQ74" s="2480">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9"/>
      <c r="E75" s="3549"/>
      <c r="F75" s="3549"/>
      <c r="G75" s="1419"/>
      <c r="H75" s="1377" t="s">
        <v>4386</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3"/>
      <c r="T75" s="3454"/>
      <c r="U75" s="3454"/>
      <c r="V75" s="3454"/>
      <c r="W75" s="3455"/>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0"/>
      <c r="NQ75" s="2481">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3938</v>
      </c>
      <c r="D76" s="3549"/>
      <c r="E76" s="3549"/>
      <c r="F76" s="3549"/>
      <c r="G76" s="6"/>
      <c r="H76" s="81" t="s">
        <v>1080</v>
      </c>
      <c r="I76" s="29"/>
      <c r="J76" s="1"/>
      <c r="K76" s="1372" t="str">
        <f t="shared" ref="K76:P76" si="349">IF(OR(K58=0,K67=0),"",K58/K67)</f>
        <v/>
      </c>
      <c r="L76" s="1373">
        <f t="shared" si="349"/>
        <v>0.5625</v>
      </c>
      <c r="M76" s="1373">
        <f t="shared" si="349"/>
        <v>0.59375</v>
      </c>
      <c r="N76" s="1373">
        <f t="shared" si="349"/>
        <v>0.59375</v>
      </c>
      <c r="O76" s="1373" t="str">
        <f t="shared" si="349"/>
        <v/>
      </c>
      <c r="P76" s="1374">
        <f t="shared" si="349"/>
        <v>0.58750000000000002</v>
      </c>
      <c r="S76" s="3453"/>
      <c r="T76" s="3454"/>
      <c r="U76" s="3454"/>
      <c r="V76" s="3454"/>
      <c r="W76" s="3455"/>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0"/>
      <c r="NQ76" s="2480">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9"/>
      <c r="E77" s="3549"/>
      <c r="F77" s="3549"/>
      <c r="G77" s="6"/>
      <c r="H77" s="81" t="s">
        <v>4385</v>
      </c>
      <c r="I77" s="29"/>
      <c r="J77" s="1"/>
      <c r="K77" s="1424" t="str">
        <f>IF(OR(K58=0,P76="",K67=0),"",P76*K67)</f>
        <v/>
      </c>
      <c r="L77" s="1424">
        <f>IF(OR(L58=0,P76="",L67=0),"",P76*L67)</f>
        <v>9.4</v>
      </c>
      <c r="M77" s="1424">
        <f>IF(OR(M58=0,P76="",M67=0),"",P76*M67)</f>
        <v>18.8</v>
      </c>
      <c r="N77" s="1424">
        <f>IF(OR(N58=0,P76="",N67=0),"",P76*N67)</f>
        <v>18.8</v>
      </c>
      <c r="O77" s="1424" t="str">
        <f>IF(OR(O58=0,P76="",O67=0),"",P76*O67)</f>
        <v/>
      </c>
      <c r="P77" s="1425">
        <f>IF(OR(P76="",P67=0),"",P76*P67)</f>
        <v>47</v>
      </c>
      <c r="S77" s="3466"/>
      <c r="T77" s="3467"/>
      <c r="U77" s="3467"/>
      <c r="V77" s="3467"/>
      <c r="W77" s="3468"/>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0"/>
      <c r="NQ77" s="2478">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9"/>
      <c r="E78" s="3549"/>
      <c r="F78" s="3549"/>
      <c r="G78" s="1419"/>
      <c r="H78" s="1377" t="s">
        <v>4386</v>
      </c>
      <c r="I78" s="1345"/>
      <c r="J78" s="1"/>
      <c r="K78" s="1426" t="str">
        <f t="shared" ref="K78:P78" si="350">IF(OR(K77="",K58=0),"", K58-K77)</f>
        <v/>
      </c>
      <c r="L78" s="1426">
        <f t="shared" si="350"/>
        <v>-0.40000000000000036</v>
      </c>
      <c r="M78" s="1426">
        <f t="shared" si="350"/>
        <v>0.19999999999999929</v>
      </c>
      <c r="N78" s="1426">
        <f t="shared" si="350"/>
        <v>0.19999999999999929</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0"/>
      <c r="NQ78" s="2480">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3938</v>
      </c>
      <c r="D79" s="1343"/>
      <c r="E79" s="1343"/>
      <c r="F79" s="6"/>
      <c r="G79" s="6"/>
      <c r="H79" s="81" t="s">
        <v>112</v>
      </c>
      <c r="I79" s="29"/>
      <c r="J79" s="1"/>
      <c r="K79" s="1372" t="str">
        <f t="shared" ref="K79:P79" si="351">IF(OR(K59=0,K67=0),"",K59/K67)</f>
        <v/>
      </c>
      <c r="L79" s="1373">
        <f t="shared" si="351"/>
        <v>0.1875</v>
      </c>
      <c r="M79" s="1373">
        <f t="shared" si="351"/>
        <v>0.15625</v>
      </c>
      <c r="N79" s="1373">
        <f t="shared" si="351"/>
        <v>0.15625</v>
      </c>
      <c r="O79" s="1373" t="str">
        <f t="shared" si="351"/>
        <v/>
      </c>
      <c r="P79" s="1374">
        <f t="shared" si="351"/>
        <v>0.16250000000000001</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0"/>
      <c r="NQ79" s="2480">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4385</v>
      </c>
      <c r="I80" s="29"/>
      <c r="J80" s="1"/>
      <c r="K80" s="1424" t="str">
        <f>IF(OR(K59=0,P79="",K67=0),"",P79*K67)</f>
        <v/>
      </c>
      <c r="L80" s="1424">
        <f>IF(OR(L59=0,P79="",L67=0),"",P79*L67)</f>
        <v>2.6</v>
      </c>
      <c r="M80" s="1424">
        <f>IF(OR(M59=0,P79="",M67=0),"",P79*M67)</f>
        <v>5.2</v>
      </c>
      <c r="N80" s="1424">
        <f>IF(OR(N59=0,P79="",N67=0),"",P79*N67)</f>
        <v>5.2</v>
      </c>
      <c r="O80" s="1424" t="str">
        <f>IF(OR(O59=0,P79="",O67=0),"",P79*O67)</f>
        <v/>
      </c>
      <c r="P80" s="1425">
        <f>IF(OR(P79="",P67=0),"",P79*P67)</f>
        <v>13</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0"/>
      <c r="NQ80" s="2478">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4386</v>
      </c>
      <c r="I81" s="1345"/>
      <c r="J81" s="1"/>
      <c r="K81" s="1426" t="str">
        <f t="shared" ref="K81:P81" si="352">IF(OR(K80="",K59=0),"", K59-K80)</f>
        <v/>
      </c>
      <c r="L81" s="1426">
        <f t="shared" si="352"/>
        <v>0.39999999999999991</v>
      </c>
      <c r="M81" s="1426">
        <f t="shared" si="352"/>
        <v>-0.20000000000000018</v>
      </c>
      <c r="N81" s="1426">
        <f t="shared" si="352"/>
        <v>-0.20000000000000018</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0"/>
      <c r="NQ81" s="2480">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3938</v>
      </c>
      <c r="D82" s="1343"/>
      <c r="E82" s="1343"/>
      <c r="F82" s="6"/>
      <c r="G82" s="6"/>
      <c r="H82" s="81" t="s">
        <v>3560</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0"/>
      <c r="NQ82" s="2480">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4385</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0"/>
      <c r="NQ83" s="2480">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4386</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0"/>
      <c r="NQ84" s="2480">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3938</v>
      </c>
      <c r="D85" s="6"/>
      <c r="E85" s="6"/>
      <c r="F85" s="6"/>
      <c r="G85" s="6"/>
      <c r="H85" s="81" t="s">
        <v>3561</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0"/>
      <c r="NQ85" s="2480">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4385</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0"/>
      <c r="NQ86" s="2481">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4386</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0"/>
      <c r="NQ87" s="2480">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3938</v>
      </c>
      <c r="D88" s="6"/>
      <c r="E88" s="6"/>
      <c r="F88" s="6"/>
      <c r="G88" s="6"/>
      <c r="H88" s="81" t="s">
        <v>3562</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0"/>
      <c r="NQ88" s="2478">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4385</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0"/>
      <c r="NQ89" s="2480">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4386</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0"/>
      <c r="NQ90" s="2480">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78">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0">
        <v>92</v>
      </c>
    </row>
    <row r="93" spans="1:485" ht="15" customHeight="1">
      <c r="A93" s="1064"/>
      <c r="B93" s="1064"/>
      <c r="C93" s="72" t="s">
        <v>874</v>
      </c>
      <c r="D93" s="1"/>
      <c r="E93" s="81"/>
      <c r="F93" s="1"/>
      <c r="G93" s="62"/>
      <c r="H93" s="81" t="s">
        <v>3558</v>
      </c>
      <c r="I93" s="29"/>
      <c r="J93" s="62"/>
      <c r="K93" s="1074">
        <f>CP49</f>
        <v>0</v>
      </c>
      <c r="L93" s="1075">
        <f>CQ49</f>
        <v>0</v>
      </c>
      <c r="M93" s="1075">
        <f>CR49</f>
        <v>0</v>
      </c>
      <c r="N93" s="1075">
        <f>CS49</f>
        <v>0</v>
      </c>
      <c r="O93" s="1076">
        <f>CT49</f>
        <v>0</v>
      </c>
      <c r="P93" s="734">
        <f t="shared" ref="P93:P100" si="359">SUM(K93:O93)</f>
        <v>0</v>
      </c>
      <c r="S93" s="3477"/>
      <c r="T93" s="3478"/>
      <c r="U93" s="3478"/>
      <c r="V93" s="3478"/>
      <c r="W93" s="347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0">
        <v>93</v>
      </c>
    </row>
    <row r="94" spans="1:485" ht="15" customHeight="1">
      <c r="A94" s="1064"/>
      <c r="B94" s="1064"/>
      <c r="C94" s="29" t="s">
        <v>2304</v>
      </c>
      <c r="D94" s="1"/>
      <c r="E94" s="81"/>
      <c r="F94" s="1"/>
      <c r="G94" s="62"/>
      <c r="H94" s="81" t="s">
        <v>3559</v>
      </c>
      <c r="I94" s="29"/>
      <c r="J94" s="62"/>
      <c r="K94" s="1077">
        <f>CK49</f>
        <v>0</v>
      </c>
      <c r="L94" s="1078">
        <f>CL49</f>
        <v>0</v>
      </c>
      <c r="M94" s="1078">
        <f>CM49</f>
        <v>0</v>
      </c>
      <c r="N94" s="1078">
        <f>CN49</f>
        <v>0</v>
      </c>
      <c r="O94" s="1079">
        <f>CO49</f>
        <v>0</v>
      </c>
      <c r="P94" s="1031">
        <f t="shared" si="359"/>
        <v>0</v>
      </c>
      <c r="S94" s="3453"/>
      <c r="T94" s="3454"/>
      <c r="U94" s="3454"/>
      <c r="V94" s="3454"/>
      <c r="W94" s="3455"/>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0">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3"/>
      <c r="T95" s="3454"/>
      <c r="U95" s="3454"/>
      <c r="V95" s="3454"/>
      <c r="W95" s="3455"/>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0">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3"/>
      <c r="T96" s="3454"/>
      <c r="U96" s="3454"/>
      <c r="V96" s="3454"/>
      <c r="W96" s="3455"/>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0">
        <v>96</v>
      </c>
    </row>
    <row r="97" spans="1:381" ht="15" customHeight="1">
      <c r="A97" s="1064"/>
      <c r="B97" s="1064"/>
      <c r="C97" s="72"/>
      <c r="D97" s="1"/>
      <c r="E97" s="81"/>
      <c r="F97" s="1"/>
      <c r="G97" s="62"/>
      <c r="H97" s="81" t="s">
        <v>3560</v>
      </c>
      <c r="I97" s="29"/>
      <c r="J97" s="899"/>
      <c r="K97" s="1077">
        <f>BV49</f>
        <v>0</v>
      </c>
      <c r="L97" s="1078">
        <f>BW49</f>
        <v>0</v>
      </c>
      <c r="M97" s="1078">
        <f>BX49</f>
        <v>0</v>
      </c>
      <c r="N97" s="1078">
        <f>BY49</f>
        <v>0</v>
      </c>
      <c r="O97" s="1079">
        <f>BZ49</f>
        <v>0</v>
      </c>
      <c r="P97" s="1031">
        <f t="shared" si="359"/>
        <v>0</v>
      </c>
      <c r="S97" s="3453"/>
      <c r="T97" s="3454"/>
      <c r="U97" s="3454"/>
      <c r="V97" s="3454"/>
      <c r="W97" s="3455"/>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1">
        <v>97</v>
      </c>
    </row>
    <row r="98" spans="1:381" ht="15" customHeight="1">
      <c r="A98" s="1063"/>
      <c r="B98" s="1063"/>
      <c r="C98" s="72"/>
      <c r="D98" s="1"/>
      <c r="E98" s="81"/>
      <c r="F98" s="1"/>
      <c r="G98" s="62"/>
      <c r="H98" s="81" t="s">
        <v>3561</v>
      </c>
      <c r="I98" s="29"/>
      <c r="J98" s="62"/>
      <c r="K98" s="1077">
        <f>BQ49</f>
        <v>0</v>
      </c>
      <c r="L98" s="1078">
        <f>BR49</f>
        <v>0</v>
      </c>
      <c r="M98" s="1078">
        <f>BS49</f>
        <v>0</v>
      </c>
      <c r="N98" s="1078">
        <f>BT49</f>
        <v>0</v>
      </c>
      <c r="O98" s="1079">
        <f>BU49</f>
        <v>0</v>
      </c>
      <c r="P98" s="1031">
        <f t="shared" si="359"/>
        <v>0</v>
      </c>
      <c r="S98" s="3453"/>
      <c r="T98" s="3454"/>
      <c r="U98" s="3454"/>
      <c r="V98" s="3454"/>
      <c r="W98" s="3455"/>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0">
        <v>98</v>
      </c>
    </row>
    <row r="99" spans="1:381" ht="15" customHeight="1">
      <c r="A99" s="1063"/>
      <c r="B99" s="1063"/>
      <c r="D99" s="1"/>
      <c r="E99" s="81"/>
      <c r="F99" s="1"/>
      <c r="G99" s="62"/>
      <c r="H99" s="81" t="s">
        <v>3562</v>
      </c>
      <c r="I99" s="29"/>
      <c r="J99" s="62"/>
      <c r="K99" s="1080">
        <f>BL49</f>
        <v>0</v>
      </c>
      <c r="L99" s="1081">
        <f>BM49</f>
        <v>0</v>
      </c>
      <c r="M99" s="1081">
        <f>BN49</f>
        <v>0</v>
      </c>
      <c r="N99" s="1081">
        <f>BO49</f>
        <v>0</v>
      </c>
      <c r="O99" s="1082">
        <f>BP49</f>
        <v>0</v>
      </c>
      <c r="P99" s="735">
        <f t="shared" si="359"/>
        <v>0</v>
      </c>
      <c r="S99" s="3453"/>
      <c r="T99" s="3454"/>
      <c r="U99" s="3454"/>
      <c r="V99" s="3454"/>
      <c r="W99" s="3455"/>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78">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6"/>
      <c r="T100" s="3467"/>
      <c r="U100" s="3467"/>
      <c r="V100" s="3467"/>
      <c r="W100" s="3468"/>
      <c r="X100" s="1656"/>
      <c r="AA100" s="358"/>
      <c r="AB100" s="361"/>
      <c r="AC100" s="1656"/>
      <c r="AF100" s="358"/>
      <c r="AG100" s="361"/>
      <c r="AH100" s="1656"/>
      <c r="AK100" s="358"/>
      <c r="AL100" s="361"/>
      <c r="AM100" s="1656"/>
      <c r="AP100" s="358"/>
      <c r="AQ100" s="361"/>
      <c r="AR100" s="362"/>
      <c r="AS100" s="362"/>
      <c r="AT100" s="362"/>
      <c r="AU100" s="362"/>
      <c r="AV100" s="362"/>
      <c r="AW100" s="362"/>
      <c r="AX100" s="361"/>
      <c r="AY100" s="358"/>
      <c r="BB100" s="362"/>
      <c r="BC100" s="361"/>
      <c r="BD100" s="358"/>
      <c r="LO100" s="360"/>
      <c r="MD100" s="356"/>
      <c r="NQ100" s="2480">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0">
        <v>101</v>
      </c>
    </row>
    <row r="102" spans="1:381" ht="14.65" customHeight="1" thickBot="1">
      <c r="A102" s="10" t="s">
        <v>688</v>
      </c>
      <c r="B102" s="10" t="s">
        <v>3752</v>
      </c>
      <c r="H102" s="68"/>
      <c r="L102" s="3480" t="str">
        <f>O53</f>
        <v>40% of Units at 60% of AMI</v>
      </c>
      <c r="M102" s="3481"/>
      <c r="N102" s="3481"/>
      <c r="O102" s="3482"/>
      <c r="P102" s="62"/>
      <c r="S102" s="4" t="str">
        <f>B102</f>
        <v>UNIT SUMMARY (Continued)</v>
      </c>
      <c r="T102" s="4"/>
      <c r="U102" s="4"/>
      <c r="V102" s="4"/>
      <c r="AY102" s="358"/>
      <c r="BD102" s="358"/>
      <c r="LO102" s="360"/>
      <c r="MD102" s="356"/>
      <c r="NQ102" s="2478">
        <v>102</v>
      </c>
    </row>
    <row r="103" spans="1:381" ht="9" customHeight="1">
      <c r="A103" s="10"/>
      <c r="B103" s="10"/>
      <c r="H103" s="68"/>
      <c r="P103" s="62"/>
      <c r="S103" s="223" t="str">
        <f>C104</f>
        <v>PHA Operating Subsidy-Assisted</v>
      </c>
      <c r="T103" s="95"/>
      <c r="U103" s="367"/>
      <c r="AY103" s="358"/>
      <c r="BD103" s="358"/>
      <c r="LO103" s="360"/>
      <c r="MD103" s="356"/>
      <c r="NQ103" s="2480">
        <v>103</v>
      </c>
    </row>
    <row r="104" spans="1:381" ht="13.5" customHeight="1">
      <c r="A104" s="1063"/>
      <c r="B104" s="1063"/>
      <c r="C104" s="333" t="s">
        <v>831</v>
      </c>
      <c r="D104" s="333"/>
      <c r="E104" s="333"/>
      <c r="F104" s="1"/>
      <c r="G104" s="62"/>
      <c r="H104" s="81" t="s">
        <v>3558</v>
      </c>
      <c r="I104" s="29"/>
      <c r="J104" s="62"/>
      <c r="K104" s="1074">
        <f>DY49</f>
        <v>0</v>
      </c>
      <c r="L104" s="1075">
        <f>DZ49</f>
        <v>0</v>
      </c>
      <c r="M104" s="1075">
        <f>EA49</f>
        <v>0</v>
      </c>
      <c r="N104" s="1075">
        <f>EB49</f>
        <v>0</v>
      </c>
      <c r="O104" s="1076">
        <f>EC49</f>
        <v>0</v>
      </c>
      <c r="P104" s="736">
        <f t="shared" ref="P104:P111" si="360">SUM(K104:O104)</f>
        <v>0</v>
      </c>
      <c r="S104" s="3477"/>
      <c r="T104" s="3478"/>
      <c r="U104" s="3478"/>
      <c r="V104" s="3478"/>
      <c r="W104" s="347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0">
        <v>104</v>
      </c>
    </row>
    <row r="105" spans="1:381" ht="13.5" customHeight="1">
      <c r="A105" s="1063"/>
      <c r="B105" s="1063"/>
      <c r="C105" s="29" t="s">
        <v>2304</v>
      </c>
      <c r="D105" s="333"/>
      <c r="E105" s="333"/>
      <c r="F105" s="1"/>
      <c r="G105" s="62"/>
      <c r="H105" s="81" t="s">
        <v>3559</v>
      </c>
      <c r="I105" s="29"/>
      <c r="J105" s="62"/>
      <c r="K105" s="1077">
        <f>DT49</f>
        <v>0</v>
      </c>
      <c r="L105" s="1078">
        <f>DU49</f>
        <v>0</v>
      </c>
      <c r="M105" s="1078">
        <f>DV49</f>
        <v>0</v>
      </c>
      <c r="N105" s="1078">
        <f>DW49</f>
        <v>0</v>
      </c>
      <c r="O105" s="1079">
        <f>DX49</f>
        <v>0</v>
      </c>
      <c r="P105" s="732">
        <f t="shared" si="360"/>
        <v>0</v>
      </c>
      <c r="S105" s="3453"/>
      <c r="T105" s="3454"/>
      <c r="U105" s="3454"/>
      <c r="V105" s="3454"/>
      <c r="W105" s="3455"/>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0">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3"/>
      <c r="T106" s="3454"/>
      <c r="U106" s="3454"/>
      <c r="V106" s="3454"/>
      <c r="W106" s="3455"/>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0">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3"/>
      <c r="T107" s="3454"/>
      <c r="U107" s="3454"/>
      <c r="V107" s="3454"/>
      <c r="W107" s="3455"/>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0">
        <v>107</v>
      </c>
    </row>
    <row r="108" spans="1:381" ht="13.5" customHeight="1">
      <c r="A108" s="1063"/>
      <c r="B108" s="1063"/>
      <c r="C108" s="333"/>
      <c r="D108" s="333"/>
      <c r="E108" s="333"/>
      <c r="F108" s="1"/>
      <c r="G108" s="62"/>
      <c r="H108" s="81" t="s">
        <v>3560</v>
      </c>
      <c r="I108" s="29"/>
      <c r="J108" s="899"/>
      <c r="K108" s="1077">
        <f>DE49</f>
        <v>0</v>
      </c>
      <c r="L108" s="1078">
        <f>DF49</f>
        <v>0</v>
      </c>
      <c r="M108" s="1078">
        <f>DG49</f>
        <v>0</v>
      </c>
      <c r="N108" s="1078">
        <f>DH49</f>
        <v>0</v>
      </c>
      <c r="O108" s="1079">
        <f>DI49</f>
        <v>0</v>
      </c>
      <c r="P108" s="732">
        <f t="shared" si="360"/>
        <v>0</v>
      </c>
      <c r="S108" s="3453"/>
      <c r="T108" s="3454"/>
      <c r="U108" s="3454"/>
      <c r="V108" s="3454"/>
      <c r="W108" s="3455"/>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1">
        <v>108</v>
      </c>
    </row>
    <row r="109" spans="1:381" ht="13.5" customHeight="1">
      <c r="A109" s="1063"/>
      <c r="B109" s="1063"/>
      <c r="C109" s="333"/>
      <c r="D109" s="333"/>
      <c r="E109" s="333"/>
      <c r="F109" s="1"/>
      <c r="G109" s="62"/>
      <c r="H109" s="81" t="s">
        <v>3561</v>
      </c>
      <c r="I109" s="29"/>
      <c r="J109" s="62"/>
      <c r="K109" s="1077">
        <f>CZ49</f>
        <v>0</v>
      </c>
      <c r="L109" s="1078">
        <f>DA49</f>
        <v>0</v>
      </c>
      <c r="M109" s="1078">
        <f>DB49</f>
        <v>0</v>
      </c>
      <c r="N109" s="1078">
        <f>DC49</f>
        <v>0</v>
      </c>
      <c r="O109" s="1079">
        <f>DD49</f>
        <v>0</v>
      </c>
      <c r="P109" s="732">
        <f t="shared" si="360"/>
        <v>0</v>
      </c>
      <c r="S109" s="3453"/>
      <c r="T109" s="3454"/>
      <c r="U109" s="3454"/>
      <c r="V109" s="3454"/>
      <c r="W109" s="3455"/>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0">
        <v>109</v>
      </c>
    </row>
    <row r="110" spans="1:381" ht="13.5" customHeight="1">
      <c r="A110" s="1063"/>
      <c r="B110" s="1063"/>
      <c r="C110" s="333"/>
      <c r="D110" s="333"/>
      <c r="E110" s="333"/>
      <c r="F110" s="1"/>
      <c r="G110" s="62"/>
      <c r="H110" s="81" t="s">
        <v>3562</v>
      </c>
      <c r="I110" s="29"/>
      <c r="J110" s="62"/>
      <c r="K110" s="1080">
        <f>CU49</f>
        <v>0</v>
      </c>
      <c r="L110" s="1081">
        <f>CV49</f>
        <v>0</v>
      </c>
      <c r="M110" s="1081">
        <f>CW49</f>
        <v>0</v>
      </c>
      <c r="N110" s="1081">
        <f>CX49</f>
        <v>0</v>
      </c>
      <c r="O110" s="1082">
        <f>CY49</f>
        <v>0</v>
      </c>
      <c r="P110" s="733">
        <f t="shared" si="360"/>
        <v>0</v>
      </c>
      <c r="S110" s="3453"/>
      <c r="T110" s="3454"/>
      <c r="U110" s="3454"/>
      <c r="V110" s="3454"/>
      <c r="W110" s="3455"/>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78">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6"/>
      <c r="T111" s="3467"/>
      <c r="U111" s="3467"/>
      <c r="V111" s="3467"/>
      <c r="W111" s="3468"/>
      <c r="X111" s="1656"/>
      <c r="AA111" s="358"/>
      <c r="AB111" s="361"/>
      <c r="AC111" s="1656"/>
      <c r="AF111" s="358"/>
      <c r="AG111" s="361"/>
      <c r="AH111" s="1656"/>
      <c r="AK111" s="358"/>
      <c r="AL111" s="361"/>
      <c r="AM111" s="1656"/>
      <c r="AP111" s="358"/>
      <c r="AQ111" s="361"/>
      <c r="AR111" s="362"/>
      <c r="AS111" s="362"/>
      <c r="AT111" s="362"/>
      <c r="AU111" s="362"/>
      <c r="AV111" s="362"/>
      <c r="AW111" s="362"/>
      <c r="AX111" s="361"/>
      <c r="AY111" s="358"/>
      <c r="BB111" s="362"/>
      <c r="BC111" s="361"/>
      <c r="BD111" s="358"/>
      <c r="LO111" s="360"/>
      <c r="MD111" s="356"/>
      <c r="NQ111" s="2480">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0">
        <v>112</v>
      </c>
    </row>
    <row r="113" spans="1:381" ht="12.95" customHeight="1">
      <c r="A113" s="1063"/>
      <c r="B113" s="1063"/>
      <c r="C113" s="3458" t="s">
        <v>35</v>
      </c>
      <c r="D113" s="3458"/>
      <c r="E113" s="81" t="s">
        <v>4828</v>
      </c>
      <c r="F113" s="1"/>
      <c r="G113" s="62"/>
      <c r="H113" s="81" t="s">
        <v>1341</v>
      </c>
      <c r="I113" s="29"/>
      <c r="J113" s="62"/>
      <c r="K113" s="1065">
        <f>GG49</f>
        <v>0</v>
      </c>
      <c r="L113" s="1066">
        <f>GH49</f>
        <v>12</v>
      </c>
      <c r="M113" s="1066">
        <f>GI49</f>
        <v>24</v>
      </c>
      <c r="N113" s="1066">
        <f>GJ49</f>
        <v>24</v>
      </c>
      <c r="O113" s="1067">
        <f>GK49</f>
        <v>0</v>
      </c>
      <c r="P113" s="736">
        <f t="shared" ref="P113:P123" si="361">SUM(K113:O113)</f>
        <v>60</v>
      </c>
      <c r="S113" s="3477"/>
      <c r="T113" s="3478"/>
      <c r="U113" s="3478"/>
      <c r="V113" s="3478"/>
      <c r="W113" s="347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78">
        <v>113</v>
      </c>
    </row>
    <row r="114" spans="1:381" ht="12.95" customHeight="1">
      <c r="A114" s="1063"/>
      <c r="B114" s="1063"/>
      <c r="C114" s="3458"/>
      <c r="D114" s="3458"/>
      <c r="E114" s="81"/>
      <c r="F114" s="1"/>
      <c r="G114" s="62"/>
      <c r="H114" s="81" t="s">
        <v>290</v>
      </c>
      <c r="I114" s="29"/>
      <c r="J114" s="62"/>
      <c r="K114" s="1071">
        <f>GL49</f>
        <v>0</v>
      </c>
      <c r="L114" s="1072">
        <f>GM49</f>
        <v>4</v>
      </c>
      <c r="M114" s="1072">
        <f>GN49</f>
        <v>8</v>
      </c>
      <c r="N114" s="1072">
        <f>GO49</f>
        <v>8</v>
      </c>
      <c r="O114" s="1073">
        <f>GP49</f>
        <v>0</v>
      </c>
      <c r="P114" s="733">
        <f t="shared" si="361"/>
        <v>20</v>
      </c>
      <c r="S114" s="3453"/>
      <c r="T114" s="3454"/>
      <c r="U114" s="3454"/>
      <c r="V114" s="3454"/>
      <c r="W114" s="3455"/>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0">
        <v>114</v>
      </c>
    </row>
    <row r="115" spans="1:381" ht="14.25" customHeight="1">
      <c r="A115" s="1063"/>
      <c r="B115" s="1063"/>
      <c r="C115" s="3458"/>
      <c r="D115" s="3458"/>
      <c r="E115" s="81"/>
      <c r="F115" s="1"/>
      <c r="G115" s="62"/>
      <c r="H115" s="141" t="s">
        <v>29</v>
      </c>
      <c r="I115" s="646" t="s">
        <v>4835</v>
      </c>
      <c r="J115" s="2094">
        <f>IF($P$67=0,0,P115/$P$67)</f>
        <v>1</v>
      </c>
      <c r="K115" s="1034">
        <f>SUM(K113:K114)+GQ49</f>
        <v>0</v>
      </c>
      <c r="L115" s="1034">
        <f>SUM(L113:L114)+GR49</f>
        <v>16</v>
      </c>
      <c r="M115" s="1034">
        <f>SUM(M113:M114)+GS49</f>
        <v>32</v>
      </c>
      <c r="N115" s="1034">
        <f>SUM(N113:N114)+GT49</f>
        <v>32</v>
      </c>
      <c r="O115" s="1034">
        <f>SUM(O113:O114)+GU49</f>
        <v>0</v>
      </c>
      <c r="P115" s="1034">
        <f t="shared" si="361"/>
        <v>80</v>
      </c>
      <c r="S115" s="3453"/>
      <c r="T115" s="3454"/>
      <c r="U115" s="3454"/>
      <c r="V115" s="3454"/>
      <c r="W115" s="3455"/>
      <c r="X115" s="1656"/>
      <c r="AA115" s="358"/>
      <c r="AB115" s="361"/>
      <c r="AC115" s="1656"/>
      <c r="AF115" s="358"/>
      <c r="AG115" s="361"/>
      <c r="AH115" s="1656"/>
      <c r="AK115" s="358"/>
      <c r="AL115" s="361"/>
      <c r="AM115" s="1656"/>
      <c r="AP115" s="358"/>
      <c r="AQ115" s="361"/>
      <c r="AR115" s="362"/>
      <c r="AS115" s="362"/>
      <c r="AT115" s="362"/>
      <c r="AU115" s="362"/>
      <c r="AV115" s="362"/>
      <c r="AW115" s="362"/>
      <c r="AX115" s="361"/>
      <c r="AY115" s="358"/>
      <c r="BB115" s="362"/>
      <c r="BC115" s="361"/>
      <c r="BD115" s="358"/>
      <c r="LO115" s="360"/>
      <c r="MD115" s="356"/>
      <c r="NQ115" s="2480">
        <v>115</v>
      </c>
    </row>
    <row r="116" spans="1:381" ht="12.95" customHeight="1">
      <c r="A116" s="1063"/>
      <c r="B116" s="1063"/>
      <c r="C116" s="3458"/>
      <c r="D116" s="3458"/>
      <c r="E116" s="81" t="s">
        <v>1978</v>
      </c>
      <c r="F116" s="1"/>
      <c r="G116" s="62"/>
      <c r="H116" s="81" t="s">
        <v>1341</v>
      </c>
      <c r="I116" s="29"/>
      <c r="J116" s="62"/>
      <c r="K116" s="1065">
        <f>GV49</f>
        <v>0</v>
      </c>
      <c r="L116" s="1066">
        <f>GW49</f>
        <v>0</v>
      </c>
      <c r="M116" s="1066">
        <f>GX49</f>
        <v>0</v>
      </c>
      <c r="N116" s="1066">
        <f>GY49</f>
        <v>0</v>
      </c>
      <c r="O116" s="1067">
        <f>GZ49</f>
        <v>0</v>
      </c>
      <c r="P116" s="736">
        <f t="shared" si="361"/>
        <v>0</v>
      </c>
      <c r="S116" s="3453"/>
      <c r="T116" s="3454"/>
      <c r="U116" s="3454"/>
      <c r="V116" s="3454"/>
      <c r="W116" s="3455"/>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0">
        <v>116</v>
      </c>
    </row>
    <row r="117" spans="1:381" ht="12.95" customHeight="1">
      <c r="A117" s="1063"/>
      <c r="B117" s="1063"/>
      <c r="C117" s="3458"/>
      <c r="D117" s="3458"/>
      <c r="E117" s="81"/>
      <c r="F117" s="1"/>
      <c r="G117" s="62"/>
      <c r="H117" s="81" t="s">
        <v>290</v>
      </c>
      <c r="I117" s="29"/>
      <c r="J117" s="62"/>
      <c r="K117" s="1071">
        <f>HA49</f>
        <v>0</v>
      </c>
      <c r="L117" s="1072">
        <f>HB49</f>
        <v>0</v>
      </c>
      <c r="M117" s="1072">
        <f>HC49</f>
        <v>0</v>
      </c>
      <c r="N117" s="1072">
        <f>HD49</f>
        <v>0</v>
      </c>
      <c r="O117" s="1073">
        <f>HE49</f>
        <v>0</v>
      </c>
      <c r="P117" s="733">
        <f t="shared" si="361"/>
        <v>0</v>
      </c>
      <c r="S117" s="3453"/>
      <c r="T117" s="3454"/>
      <c r="U117" s="3454"/>
      <c r="V117" s="3454"/>
      <c r="W117" s="3455"/>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0">
        <v>117</v>
      </c>
    </row>
    <row r="118" spans="1:381" ht="14.25" customHeight="1">
      <c r="A118" s="1063"/>
      <c r="B118" s="1063"/>
      <c r="C118" s="3458"/>
      <c r="D118" s="3458"/>
      <c r="E118" s="81"/>
      <c r="F118" s="1"/>
      <c r="G118" s="62"/>
      <c r="H118" s="141" t="s">
        <v>29</v>
      </c>
      <c r="I118" s="646" t="s">
        <v>4835</v>
      </c>
      <c r="J118" s="2094">
        <f>IF($P$67=0,0,P118/$P$67)</f>
        <v>0</v>
      </c>
      <c r="K118" s="1034">
        <f>SUM(K116:K117)+HF49</f>
        <v>0</v>
      </c>
      <c r="L118" s="1034">
        <f>SUM(L116:L117)+HG49</f>
        <v>0</v>
      </c>
      <c r="M118" s="1034">
        <f>SUM(M116:M117)+HH49</f>
        <v>0</v>
      </c>
      <c r="N118" s="1034">
        <f>SUM(N116:N117)+HI49</f>
        <v>0</v>
      </c>
      <c r="O118" s="1034">
        <f>SUM(O116:O117)+HJ49</f>
        <v>0</v>
      </c>
      <c r="P118" s="1034">
        <f t="shared" si="361"/>
        <v>0</v>
      </c>
      <c r="S118" s="3453"/>
      <c r="T118" s="3454"/>
      <c r="U118" s="3454"/>
      <c r="V118" s="3454"/>
      <c r="W118" s="3455"/>
      <c r="X118" s="1656"/>
      <c r="AA118" s="358"/>
      <c r="AB118" s="361"/>
      <c r="AC118" s="1656"/>
      <c r="AF118" s="358"/>
      <c r="AG118" s="361"/>
      <c r="AH118" s="1656"/>
      <c r="AK118" s="358"/>
      <c r="AL118" s="361"/>
      <c r="AM118" s="1656"/>
      <c r="AP118" s="358"/>
      <c r="AQ118" s="361"/>
      <c r="AR118" s="362"/>
      <c r="AS118" s="362"/>
      <c r="AT118" s="362"/>
      <c r="AU118" s="362"/>
      <c r="AV118" s="362"/>
      <c r="AW118" s="362"/>
      <c r="AX118" s="361"/>
      <c r="AY118" s="358"/>
      <c r="BB118" s="362"/>
      <c r="BC118" s="361"/>
      <c r="BD118" s="358"/>
      <c r="LO118" s="360"/>
      <c r="MD118" s="356"/>
      <c r="NQ118" s="2480">
        <v>118</v>
      </c>
    </row>
    <row r="119" spans="1:381" ht="12.95" customHeight="1">
      <c r="A119" s="1063"/>
      <c r="B119" s="1063"/>
      <c r="C119" s="685"/>
      <c r="D119" s="1"/>
      <c r="E119" s="3541" t="s">
        <v>1335</v>
      </c>
      <c r="F119" s="3541"/>
      <c r="G119" s="62"/>
      <c r="H119" s="81" t="s">
        <v>1341</v>
      </c>
      <c r="I119" s="29"/>
      <c r="J119" s="62"/>
      <c r="K119" s="1065">
        <f>HK49</f>
        <v>0</v>
      </c>
      <c r="L119" s="1066">
        <f>HL49</f>
        <v>0</v>
      </c>
      <c r="M119" s="1066">
        <f>HM49</f>
        <v>0</v>
      </c>
      <c r="N119" s="1066">
        <f>HN49</f>
        <v>0</v>
      </c>
      <c r="O119" s="1067">
        <f>HO49</f>
        <v>0</v>
      </c>
      <c r="P119" s="736">
        <f t="shared" si="361"/>
        <v>0</v>
      </c>
      <c r="S119" s="3453"/>
      <c r="T119" s="3454"/>
      <c r="U119" s="3454"/>
      <c r="V119" s="3454"/>
      <c r="W119" s="3455"/>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1">
        <v>119</v>
      </c>
    </row>
    <row r="120" spans="1:381" ht="12.95" customHeight="1">
      <c r="A120" s="1063"/>
      <c r="B120" s="1063"/>
      <c r="C120" s="685"/>
      <c r="D120" s="1"/>
      <c r="E120" s="3541"/>
      <c r="F120" s="3541"/>
      <c r="G120" s="62"/>
      <c r="H120" s="81" t="s">
        <v>290</v>
      </c>
      <c r="I120" s="29"/>
      <c r="J120" s="62"/>
      <c r="K120" s="1071">
        <f>HP49</f>
        <v>0</v>
      </c>
      <c r="L120" s="1072">
        <f>HQ49</f>
        <v>0</v>
      </c>
      <c r="M120" s="1072">
        <f>HR49</f>
        <v>0</v>
      </c>
      <c r="N120" s="1072">
        <f>HS49</f>
        <v>0</v>
      </c>
      <c r="O120" s="1073">
        <f>HT49</f>
        <v>0</v>
      </c>
      <c r="P120" s="733">
        <f t="shared" si="361"/>
        <v>0</v>
      </c>
      <c r="S120" s="3453"/>
      <c r="T120" s="3454"/>
      <c r="U120" s="3454"/>
      <c r="V120" s="3454"/>
      <c r="W120" s="3455"/>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0">
        <v>120</v>
      </c>
    </row>
    <row r="121" spans="1:381" ht="14.25" customHeight="1">
      <c r="A121" s="1063"/>
      <c r="B121" s="1063"/>
      <c r="C121" s="685"/>
      <c r="D121" s="1"/>
      <c r="E121" s="81"/>
      <c r="F121" s="1"/>
      <c r="G121" s="62"/>
      <c r="H121" s="141" t="s">
        <v>29</v>
      </c>
      <c r="I121" s="646" t="s">
        <v>4835</v>
      </c>
      <c r="J121" s="2094">
        <f>IF($P$67=0,0,P121/$P$67)</f>
        <v>0</v>
      </c>
      <c r="K121" s="1034">
        <f>SUM(K119:K120)+HU49</f>
        <v>0</v>
      </c>
      <c r="L121" s="1034">
        <f>SUM(L119:L120)+HV49</f>
        <v>0</v>
      </c>
      <c r="M121" s="1034">
        <f>SUM(M119:M120)+HW49</f>
        <v>0</v>
      </c>
      <c r="N121" s="1034">
        <f>SUM(N119:N120)+HX49</f>
        <v>0</v>
      </c>
      <c r="O121" s="1034">
        <f>SUM(O119:O120)+HY49</f>
        <v>0</v>
      </c>
      <c r="P121" s="1034">
        <f t="shared" si="361"/>
        <v>0</v>
      </c>
      <c r="S121" s="3453"/>
      <c r="T121" s="3454"/>
      <c r="U121" s="3454"/>
      <c r="V121" s="3454"/>
      <c r="W121" s="3455"/>
      <c r="X121" s="1656"/>
      <c r="AA121" s="358"/>
      <c r="AB121" s="361"/>
      <c r="AC121" s="1656"/>
      <c r="AF121" s="358"/>
      <c r="AG121" s="361"/>
      <c r="AH121" s="1656"/>
      <c r="AK121" s="358"/>
      <c r="AL121" s="361"/>
      <c r="AM121" s="1656"/>
      <c r="AP121" s="358"/>
      <c r="AQ121" s="361"/>
      <c r="AR121" s="362"/>
      <c r="AS121" s="362"/>
      <c r="AT121" s="362"/>
      <c r="AU121" s="362"/>
      <c r="AV121" s="362"/>
      <c r="AW121" s="362"/>
      <c r="AX121" s="361"/>
      <c r="AY121" s="358"/>
      <c r="BB121" s="362"/>
      <c r="BC121" s="361"/>
      <c r="BD121" s="358"/>
      <c r="LO121" s="360"/>
      <c r="MD121" s="356"/>
      <c r="NQ121" s="2478">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53"/>
      <c r="T122" s="3454"/>
      <c r="U122" s="3454"/>
      <c r="V122" s="3454"/>
      <c r="W122" s="3455"/>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0">
        <v>122</v>
      </c>
    </row>
    <row r="123" spans="1:381" ht="14.25" customHeight="1">
      <c r="A123" s="3542" t="str">
        <f>IF(AND('Part III-A-Uses of Funds'!$T$179="Yes",'Part VIII Scoring Criteria'!$O$339&gt;0,P123&lt;1),"SHOW HISTORIC UNITS HERE &gt;&gt;&gt;&gt;","")</f>
        <v/>
      </c>
      <c r="B123" s="3542"/>
      <c r="C123" s="3542"/>
      <c r="D123" s="3542"/>
      <c r="E123" s="382" t="s">
        <v>2937</v>
      </c>
      <c r="F123" s="1"/>
      <c r="G123" s="147"/>
      <c r="H123" s="87"/>
      <c r="I123" s="62"/>
      <c r="J123" s="62"/>
      <c r="K123" s="467"/>
      <c r="L123" s="467"/>
      <c r="M123" s="467"/>
      <c r="N123" s="467"/>
      <c r="O123" s="467"/>
      <c r="P123" s="463">
        <f t="shared" si="361"/>
        <v>0</v>
      </c>
      <c r="S123" s="3453"/>
      <c r="T123" s="3454"/>
      <c r="U123" s="3454"/>
      <c r="V123" s="3454"/>
      <c r="W123" s="3455"/>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0">
        <v>123</v>
      </c>
    </row>
    <row r="124" spans="1:381" ht="9" customHeight="1">
      <c r="A124" s="820"/>
      <c r="B124" s="820"/>
      <c r="C124" s="820"/>
      <c r="D124" s="820"/>
      <c r="E124" s="382"/>
      <c r="F124" s="1"/>
      <c r="G124" s="147"/>
      <c r="H124" s="87"/>
      <c r="I124" s="62"/>
      <c r="J124" s="62"/>
      <c r="K124" s="29"/>
      <c r="L124" s="29"/>
      <c r="M124" s="29"/>
      <c r="N124" s="29"/>
      <c r="O124" s="29"/>
      <c r="P124" s="29"/>
      <c r="S124" s="3453"/>
      <c r="T124" s="3454"/>
      <c r="U124" s="3454"/>
      <c r="V124" s="3454"/>
      <c r="W124" s="3455"/>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78">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6"/>
      <c r="T125" s="3467"/>
      <c r="U125" s="3467"/>
      <c r="V125" s="3467"/>
      <c r="W125" s="3468"/>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0">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0">
        <v>126</v>
      </c>
    </row>
    <row r="127" spans="1:381" ht="13.5" customHeight="1">
      <c r="C127" s="3458" t="s">
        <v>4827</v>
      </c>
      <c r="D127" s="3458"/>
      <c r="E127" s="81" t="s">
        <v>4767</v>
      </c>
      <c r="F127" s="1"/>
      <c r="G127" s="147"/>
      <c r="H127" s="87"/>
      <c r="I127" s="62"/>
      <c r="J127" s="62"/>
      <c r="K127" s="2458"/>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0">
        <v>127</v>
      </c>
    </row>
    <row r="128" spans="1:381" ht="13.5" customHeight="1">
      <c r="C128" s="3458"/>
      <c r="D128" s="3458"/>
      <c r="E128" s="81"/>
      <c r="K128" s="2459"/>
      <c r="L128" s="3458" t="s">
        <v>4831</v>
      </c>
      <c r="M128" s="3458"/>
      <c r="N128" s="3458"/>
      <c r="O128" s="3458"/>
      <c r="P128" s="3458"/>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0">
        <v>128</v>
      </c>
    </row>
    <row r="129" spans="3:493" ht="14.25" customHeight="1">
      <c r="C129" s="3458"/>
      <c r="D129" s="3458"/>
      <c r="E129" s="81"/>
      <c r="K129" s="464"/>
      <c r="L129" s="3458"/>
      <c r="M129" s="3458"/>
      <c r="N129" s="3458"/>
      <c r="O129" s="3458"/>
      <c r="P129" s="3458"/>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0">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1">
        <v>130</v>
      </c>
    </row>
    <row r="131" spans="3:493" ht="14.25" customHeight="1">
      <c r="C131" s="3457" t="s">
        <v>4390</v>
      </c>
      <c r="D131" s="3457"/>
      <c r="E131" s="895" t="s">
        <v>36</v>
      </c>
      <c r="F131" s="754"/>
      <c r="G131" s="896"/>
      <c r="H131" s="1378"/>
      <c r="I131" s="897"/>
      <c r="J131" s="898"/>
      <c r="K131" s="1086">
        <f t="shared" ref="K131:P131" si="362">SUM(K132:K139)</f>
        <v>0</v>
      </c>
      <c r="L131" s="1087">
        <f t="shared" si="362"/>
        <v>16</v>
      </c>
      <c r="M131" s="1087">
        <f t="shared" si="362"/>
        <v>32</v>
      </c>
      <c r="N131" s="1087">
        <f t="shared" si="362"/>
        <v>32</v>
      </c>
      <c r="O131" s="1088">
        <f t="shared" si="362"/>
        <v>0</v>
      </c>
      <c r="P131" s="1037">
        <f t="shared" si="362"/>
        <v>80</v>
      </c>
      <c r="S131" s="3477"/>
      <c r="T131" s="3478"/>
      <c r="U131" s="3478"/>
      <c r="V131" s="3478"/>
      <c r="W131" s="347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0">
        <v>131</v>
      </c>
    </row>
    <row r="132" spans="3:493" ht="14.25" customHeight="1">
      <c r="C132" s="3458"/>
      <c r="D132" s="3458"/>
      <c r="E132" s="81"/>
      <c r="F132" s="1"/>
      <c r="G132" s="62"/>
      <c r="H132" s="1342" t="s">
        <v>4190</v>
      </c>
      <c r="I132" s="33"/>
      <c r="J132" s="899"/>
      <c r="K132" s="1068">
        <f>JS49</f>
        <v>0</v>
      </c>
      <c r="L132" s="1069">
        <f>JT49</f>
        <v>0</v>
      </c>
      <c r="M132" s="1069">
        <f>JU49</f>
        <v>0</v>
      </c>
      <c r="N132" s="1069">
        <f>JV49</f>
        <v>0</v>
      </c>
      <c r="O132" s="1070">
        <f>JW49</f>
        <v>0</v>
      </c>
      <c r="P132" s="732">
        <f t="shared" ref="P132:P147" si="363">SUM(K132:O132)</f>
        <v>0</v>
      </c>
      <c r="S132" s="3453"/>
      <c r="T132" s="3454"/>
      <c r="U132" s="3454"/>
      <c r="V132" s="3454"/>
      <c r="W132" s="3455"/>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78">
        <v>132</v>
      </c>
    </row>
    <row r="133" spans="3:493" ht="14.25" customHeight="1">
      <c r="C133" s="3458"/>
      <c r="D133" s="3458"/>
      <c r="E133" s="81"/>
      <c r="F133" s="1"/>
      <c r="G133" s="62"/>
      <c r="H133" s="1379" t="s">
        <v>2925</v>
      </c>
      <c r="I133" s="73"/>
      <c r="J133" s="899"/>
      <c r="K133" s="1602">
        <f>KC49</f>
        <v>0</v>
      </c>
      <c r="L133" s="1603">
        <f>KD49</f>
        <v>0</v>
      </c>
      <c r="M133" s="1603">
        <f>KE49</f>
        <v>0</v>
      </c>
      <c r="N133" s="1603">
        <f>KF49</f>
        <v>0</v>
      </c>
      <c r="O133" s="1604">
        <f>KG49</f>
        <v>0</v>
      </c>
      <c r="P133" s="1614">
        <f t="shared" si="363"/>
        <v>0</v>
      </c>
      <c r="S133" s="3453"/>
      <c r="T133" s="3454"/>
      <c r="U133" s="3454"/>
      <c r="V133" s="3454"/>
      <c r="W133" s="3455"/>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0">
        <v>133</v>
      </c>
    </row>
    <row r="134" spans="3:493" ht="14.25" customHeight="1">
      <c r="C134" s="3458"/>
      <c r="D134" s="3458"/>
      <c r="E134" s="81"/>
      <c r="F134" s="1"/>
      <c r="G134" s="62"/>
      <c r="H134" s="1342" t="s">
        <v>4377</v>
      </c>
      <c r="I134" s="33"/>
      <c r="J134" s="899"/>
      <c r="K134" s="1068">
        <f>JX49</f>
        <v>0</v>
      </c>
      <c r="L134" s="1069">
        <f>JY49</f>
        <v>0</v>
      </c>
      <c r="M134" s="1069">
        <f>JZ49</f>
        <v>0</v>
      </c>
      <c r="N134" s="1069">
        <f>KA49</f>
        <v>0</v>
      </c>
      <c r="O134" s="1070">
        <f>KB49</f>
        <v>0</v>
      </c>
      <c r="P134" s="732">
        <f t="shared" si="363"/>
        <v>0</v>
      </c>
      <c r="S134" s="3453"/>
      <c r="T134" s="3454"/>
      <c r="U134" s="3454"/>
      <c r="V134" s="3454"/>
      <c r="W134" s="3455"/>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0">
        <v>134</v>
      </c>
    </row>
    <row r="135" spans="3:493" ht="14.25" customHeight="1">
      <c r="C135" s="3458"/>
      <c r="D135" s="3458"/>
      <c r="E135" s="81"/>
      <c r="F135" s="1"/>
      <c r="G135" s="62"/>
      <c r="H135" s="1379" t="s">
        <v>2925</v>
      </c>
      <c r="I135" s="73"/>
      <c r="J135" s="899"/>
      <c r="K135" s="1602">
        <f>KH49</f>
        <v>0</v>
      </c>
      <c r="L135" s="1603">
        <f>KI49</f>
        <v>0</v>
      </c>
      <c r="M135" s="1603">
        <f>KJ49</f>
        <v>0</v>
      </c>
      <c r="N135" s="1603">
        <f>KK49</f>
        <v>0</v>
      </c>
      <c r="O135" s="1604">
        <f>KL49</f>
        <v>0</v>
      </c>
      <c r="P135" s="1614">
        <f t="shared" si="363"/>
        <v>0</v>
      </c>
      <c r="S135" s="3453"/>
      <c r="T135" s="3454"/>
      <c r="U135" s="3454"/>
      <c r="V135" s="3454"/>
      <c r="W135" s="3455"/>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78">
        <v>135</v>
      </c>
    </row>
    <row r="136" spans="3:493" ht="14.25" customHeight="1">
      <c r="C136" s="3458"/>
      <c r="D136" s="3458"/>
      <c r="E136" s="81"/>
      <c r="F136" s="1"/>
      <c r="G136" s="62"/>
      <c r="H136" s="1342" t="s">
        <v>4192</v>
      </c>
      <c r="I136" s="33"/>
      <c r="J136" s="62"/>
      <c r="K136" s="1092">
        <f>KM49</f>
        <v>0</v>
      </c>
      <c r="L136" s="1093">
        <f>KN49</f>
        <v>0</v>
      </c>
      <c r="M136" s="1093">
        <f>KO49</f>
        <v>0</v>
      </c>
      <c r="N136" s="1093">
        <f>KP49</f>
        <v>0</v>
      </c>
      <c r="O136" s="1094">
        <f>KQ49</f>
        <v>0</v>
      </c>
      <c r="P136" s="468">
        <f t="shared" si="363"/>
        <v>0</v>
      </c>
      <c r="S136" s="3453"/>
      <c r="T136" s="3454"/>
      <c r="U136" s="3454"/>
      <c r="V136" s="3454"/>
      <c r="W136" s="3455"/>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0">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8"/>
      <c r="D137" s="3458"/>
      <c r="E137" s="81"/>
      <c r="F137" s="1"/>
      <c r="G137" s="62"/>
      <c r="H137" s="1379" t="s">
        <v>2925</v>
      </c>
      <c r="I137" s="73"/>
      <c r="J137" s="62"/>
      <c r="K137" s="1610">
        <f>KW49</f>
        <v>0</v>
      </c>
      <c r="L137" s="1611">
        <f>KX49</f>
        <v>0</v>
      </c>
      <c r="M137" s="1611">
        <f>KY49</f>
        <v>0</v>
      </c>
      <c r="N137" s="1611">
        <f>KZ49</f>
        <v>0</v>
      </c>
      <c r="O137" s="1612">
        <f>LA49</f>
        <v>0</v>
      </c>
      <c r="P137" s="1613">
        <f t="shared" si="363"/>
        <v>0</v>
      </c>
      <c r="S137" s="3453"/>
      <c r="T137" s="3454"/>
      <c r="U137" s="3454"/>
      <c r="V137" s="3454"/>
      <c r="W137" s="3455"/>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0">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8"/>
      <c r="D138" s="3458"/>
      <c r="E138" s="81"/>
      <c r="F138" s="1"/>
      <c r="G138" s="62"/>
      <c r="H138" s="1342" t="s">
        <v>4384</v>
      </c>
      <c r="I138" s="33"/>
      <c r="J138" s="62"/>
      <c r="K138" s="1092">
        <f>KR49</f>
        <v>0</v>
      </c>
      <c r="L138" s="1093">
        <f>KS49</f>
        <v>16</v>
      </c>
      <c r="M138" s="1093">
        <f>KT49</f>
        <v>32</v>
      </c>
      <c r="N138" s="1093">
        <f>KU49</f>
        <v>32</v>
      </c>
      <c r="O138" s="1094">
        <f>KV49</f>
        <v>0</v>
      </c>
      <c r="P138" s="468">
        <f t="shared" si="363"/>
        <v>80</v>
      </c>
      <c r="S138" s="3453"/>
      <c r="T138" s="3454"/>
      <c r="U138" s="3454"/>
      <c r="V138" s="3454"/>
      <c r="W138" s="3455"/>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0">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8"/>
      <c r="D139" s="3458"/>
      <c r="E139" s="81"/>
      <c r="F139" s="1"/>
      <c r="G139" s="62"/>
      <c r="H139" s="1379" t="s">
        <v>2925</v>
      </c>
      <c r="I139" s="73"/>
      <c r="J139" s="62"/>
      <c r="K139" s="1610">
        <f>LB49</f>
        <v>0</v>
      </c>
      <c r="L139" s="1611">
        <f>LC49</f>
        <v>0</v>
      </c>
      <c r="M139" s="1611">
        <f>LD49</f>
        <v>0</v>
      </c>
      <c r="N139" s="1611">
        <f>LE49</f>
        <v>0</v>
      </c>
      <c r="O139" s="1612">
        <f>LF49</f>
        <v>0</v>
      </c>
      <c r="P139" s="1613">
        <f t="shared" si="363"/>
        <v>0</v>
      </c>
      <c r="S139" s="3453"/>
      <c r="T139" s="3454"/>
      <c r="U139" s="3454"/>
      <c r="V139" s="3454"/>
      <c r="W139" s="3455"/>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0">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3"/>
      <c r="D140" s="2453"/>
      <c r="E140" s="81" t="s">
        <v>4379</v>
      </c>
      <c r="F140" s="1"/>
      <c r="G140" s="62"/>
      <c r="H140" s="1342"/>
      <c r="I140" s="33"/>
      <c r="J140" s="62"/>
      <c r="K140" s="1065">
        <f>IE49</f>
        <v>0</v>
      </c>
      <c r="L140" s="1066">
        <f>IF49</f>
        <v>0</v>
      </c>
      <c r="M140" s="1066">
        <f>IG49</f>
        <v>0</v>
      </c>
      <c r="N140" s="1066">
        <f>IH49</f>
        <v>0</v>
      </c>
      <c r="O140" s="1067">
        <f>II49</f>
        <v>0</v>
      </c>
      <c r="P140" s="1598">
        <f t="shared" si="363"/>
        <v>0</v>
      </c>
      <c r="S140" s="3453"/>
      <c r="T140" s="3454"/>
      <c r="U140" s="3454"/>
      <c r="V140" s="3454"/>
      <c r="W140" s="3455"/>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0">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3"/>
      <c r="D141" s="2453"/>
      <c r="E141" s="81"/>
      <c r="F141" s="1"/>
      <c r="G141" s="62"/>
      <c r="H141" s="1379" t="s">
        <v>2925</v>
      </c>
      <c r="I141" s="73"/>
      <c r="J141" s="62"/>
      <c r="K141" s="1602">
        <f>IJ49</f>
        <v>0</v>
      </c>
      <c r="L141" s="1603">
        <f>IK49</f>
        <v>0</v>
      </c>
      <c r="M141" s="1603">
        <f>IL49</f>
        <v>0</v>
      </c>
      <c r="N141" s="1603">
        <f>IM49</f>
        <v>0</v>
      </c>
      <c r="O141" s="1604">
        <f>IN49</f>
        <v>0</v>
      </c>
      <c r="P141" s="1605">
        <f t="shared" si="363"/>
        <v>0</v>
      </c>
      <c r="S141" s="3453"/>
      <c r="T141" s="3454"/>
      <c r="U141" s="3454"/>
      <c r="V141" s="3454"/>
      <c r="W141" s="3455"/>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1">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3"/>
      <c r="D142" s="2453"/>
      <c r="E142" s="81" t="s">
        <v>4380</v>
      </c>
      <c r="F142" s="1"/>
      <c r="G142" s="62"/>
      <c r="H142" s="1342"/>
      <c r="I142" s="33"/>
      <c r="J142" s="62"/>
      <c r="K142" s="1092">
        <f>JI49</f>
        <v>0</v>
      </c>
      <c r="L142" s="1093">
        <f>JJ49</f>
        <v>0</v>
      </c>
      <c r="M142" s="1093">
        <f>JK49</f>
        <v>0</v>
      </c>
      <c r="N142" s="1093">
        <f>JL49</f>
        <v>0</v>
      </c>
      <c r="O142" s="1094">
        <f>JM49</f>
        <v>0</v>
      </c>
      <c r="P142" s="1599">
        <f t="shared" si="363"/>
        <v>0</v>
      </c>
      <c r="S142" s="3453"/>
      <c r="T142" s="3454"/>
      <c r="U142" s="3454"/>
      <c r="V142" s="3454"/>
      <c r="W142" s="3455"/>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0">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3"/>
      <c r="D143" s="2453"/>
      <c r="E143" s="81"/>
      <c r="F143" s="1"/>
      <c r="G143" s="62"/>
      <c r="H143" s="1379" t="s">
        <v>2925</v>
      </c>
      <c r="I143" s="73"/>
      <c r="J143" s="62"/>
      <c r="K143" s="1602">
        <f>JN49</f>
        <v>0</v>
      </c>
      <c r="L143" s="1603">
        <f>JO49</f>
        <v>0</v>
      </c>
      <c r="M143" s="1603">
        <f>JP49</f>
        <v>0</v>
      </c>
      <c r="N143" s="1603">
        <f>JQ49</f>
        <v>0</v>
      </c>
      <c r="O143" s="1604">
        <f>JR49</f>
        <v>0</v>
      </c>
      <c r="P143" s="1605">
        <f t="shared" si="363"/>
        <v>0</v>
      </c>
      <c r="S143" s="3453"/>
      <c r="T143" s="3454"/>
      <c r="U143" s="3454"/>
      <c r="V143" s="3454"/>
      <c r="W143" s="3455"/>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78">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3"/>
      <c r="D144" s="2453"/>
      <c r="E144" s="81" t="s">
        <v>4186</v>
      </c>
      <c r="F144" s="1"/>
      <c r="G144" s="62"/>
      <c r="H144" s="1342"/>
      <c r="I144" s="33"/>
      <c r="J144" s="62"/>
      <c r="K144" s="1092">
        <f>IY49</f>
        <v>0</v>
      </c>
      <c r="L144" s="1093">
        <f>IZ49</f>
        <v>0</v>
      </c>
      <c r="M144" s="1093">
        <f>JA49</f>
        <v>0</v>
      </c>
      <c r="N144" s="1093">
        <f>JB49</f>
        <v>0</v>
      </c>
      <c r="O144" s="1094">
        <f>JC49</f>
        <v>0</v>
      </c>
      <c r="P144" s="1599">
        <f t="shared" si="363"/>
        <v>0</v>
      </c>
      <c r="S144" s="3453"/>
      <c r="T144" s="3454"/>
      <c r="U144" s="3454"/>
      <c r="V144" s="3454"/>
      <c r="W144" s="3455"/>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0">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3"/>
      <c r="D145" s="2453"/>
      <c r="E145" s="81"/>
      <c r="F145" s="1"/>
      <c r="G145" s="62"/>
      <c r="H145" s="1379" t="s">
        <v>2925</v>
      </c>
      <c r="I145" s="73"/>
      <c r="J145" s="62"/>
      <c r="K145" s="1610">
        <f>JD49</f>
        <v>0</v>
      </c>
      <c r="L145" s="1611">
        <f>JE49</f>
        <v>0</v>
      </c>
      <c r="M145" s="1611">
        <f>JF49</f>
        <v>0</v>
      </c>
      <c r="N145" s="1611">
        <f>JG49</f>
        <v>0</v>
      </c>
      <c r="O145" s="1612">
        <f>JH49</f>
        <v>0</v>
      </c>
      <c r="P145" s="1605">
        <f t="shared" si="363"/>
        <v>0</v>
      </c>
      <c r="S145" s="3453"/>
      <c r="T145" s="3454"/>
      <c r="U145" s="3454"/>
      <c r="V145" s="3454"/>
      <c r="W145" s="3455"/>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0">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3"/>
      <c r="D146" s="2453"/>
      <c r="E146" s="68" t="s">
        <v>524</v>
      </c>
      <c r="F146" s="1"/>
      <c r="G146" s="62"/>
      <c r="H146" s="1342"/>
      <c r="I146" s="33"/>
      <c r="J146" s="62"/>
      <c r="K146" s="1092">
        <f>IO49</f>
        <v>0</v>
      </c>
      <c r="L146" s="1093">
        <f>IP49</f>
        <v>0</v>
      </c>
      <c r="M146" s="1093">
        <f>IQ49</f>
        <v>0</v>
      </c>
      <c r="N146" s="1093">
        <f>IR49</f>
        <v>0</v>
      </c>
      <c r="O146" s="1094">
        <f>IS49</f>
        <v>0</v>
      </c>
      <c r="P146" s="1599">
        <f t="shared" si="363"/>
        <v>0</v>
      </c>
      <c r="S146" s="3453"/>
      <c r="T146" s="3454"/>
      <c r="U146" s="3454"/>
      <c r="V146" s="3454"/>
      <c r="W146" s="3455"/>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78">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7"/>
      <c r="D147" s="1597"/>
      <c r="E147" s="68"/>
      <c r="F147" s="1"/>
      <c r="G147" s="62"/>
      <c r="H147" s="1379" t="s">
        <v>2925</v>
      </c>
      <c r="I147" s="73"/>
      <c r="J147" s="62"/>
      <c r="K147" s="1606">
        <f>IT49</f>
        <v>0</v>
      </c>
      <c r="L147" s="1607">
        <f>IU49</f>
        <v>0</v>
      </c>
      <c r="M147" s="1607">
        <f>IV49</f>
        <v>0</v>
      </c>
      <c r="N147" s="1607">
        <f>IW49</f>
        <v>0</v>
      </c>
      <c r="O147" s="1608">
        <f>IX49</f>
        <v>0</v>
      </c>
      <c r="P147" s="1609">
        <f t="shared" si="363"/>
        <v>0</v>
      </c>
      <c r="S147" s="3466"/>
      <c r="T147" s="3467"/>
      <c r="U147" s="3467"/>
      <c r="V147" s="3467"/>
      <c r="W147" s="3468"/>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0">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0">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3752</v>
      </c>
      <c r="H149" s="68"/>
      <c r="L149" s="3480" t="str">
        <f>$O$53</f>
        <v>40% of Units at 60% of AMI</v>
      </c>
      <c r="M149" s="3481"/>
      <c r="N149" s="3481"/>
      <c r="O149" s="3482"/>
      <c r="P149" s="62"/>
      <c r="S149" s="3543" t="str">
        <f>B149</f>
        <v>UNIT SUMMARY (Continued)</v>
      </c>
      <c r="T149" s="3543"/>
      <c r="U149" s="3543"/>
      <c r="V149" s="3543"/>
      <c r="AY149" s="358"/>
      <c r="BD149" s="358"/>
      <c r="LO149" s="360"/>
      <c r="MD149" s="356"/>
      <c r="ME149" s="356"/>
      <c r="NQ149" s="2480">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0">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7" t="s">
        <v>4391</v>
      </c>
      <c r="D151" s="3457"/>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8">
        <f t="shared" ref="P151:P158" si="365">SUM(K151:O151)</f>
        <v>0</v>
      </c>
      <c r="S151" s="3477"/>
      <c r="T151" s="3478"/>
      <c r="U151" s="3478"/>
      <c r="V151" s="3478"/>
      <c r="W151" s="347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0">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8"/>
      <c r="D152" s="3458"/>
      <c r="E152" s="81"/>
      <c r="F152" s="147"/>
      <c r="G152" s="62"/>
      <c r="H152" s="1379" t="s">
        <v>2925</v>
      </c>
      <c r="I152" s="73"/>
      <c r="J152" s="899"/>
      <c r="K152" s="1602">
        <f t="shared" si="364"/>
        <v>0</v>
      </c>
      <c r="L152" s="1603">
        <f t="shared" si="364"/>
        <v>0</v>
      </c>
      <c r="M152" s="1603">
        <f t="shared" si="364"/>
        <v>0</v>
      </c>
      <c r="N152" s="1603">
        <f t="shared" si="364"/>
        <v>0</v>
      </c>
      <c r="O152" s="1604">
        <f t="shared" si="364"/>
        <v>0</v>
      </c>
      <c r="P152" s="1605">
        <f t="shared" si="365"/>
        <v>0</v>
      </c>
      <c r="S152" s="3453"/>
      <c r="T152" s="3454"/>
      <c r="U152" s="3454"/>
      <c r="V152" s="3454"/>
      <c r="W152" s="3455"/>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1">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8"/>
      <c r="D153" s="3458"/>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599">
        <f t="shared" si="365"/>
        <v>0</v>
      </c>
      <c r="S153" s="3453"/>
      <c r="T153" s="3454"/>
      <c r="U153" s="3454"/>
      <c r="V153" s="3454"/>
      <c r="W153" s="3455"/>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0">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8"/>
      <c r="D154" s="3458"/>
      <c r="E154" s="81"/>
      <c r="F154" s="147"/>
      <c r="G154" s="62"/>
      <c r="H154" s="1379" t="s">
        <v>2925</v>
      </c>
      <c r="I154" s="73"/>
      <c r="J154" s="899"/>
      <c r="K154" s="1602">
        <f t="shared" si="366"/>
        <v>0</v>
      </c>
      <c r="L154" s="1603">
        <f t="shared" si="366"/>
        <v>0</v>
      </c>
      <c r="M154" s="1603">
        <f t="shared" si="366"/>
        <v>0</v>
      </c>
      <c r="N154" s="1603">
        <f t="shared" si="366"/>
        <v>0</v>
      </c>
      <c r="O154" s="1604">
        <f t="shared" si="366"/>
        <v>0</v>
      </c>
      <c r="P154" s="1605">
        <f t="shared" si="365"/>
        <v>0</v>
      </c>
      <c r="S154" s="3453"/>
      <c r="T154" s="3454"/>
      <c r="U154" s="3454"/>
      <c r="V154" s="3454"/>
      <c r="W154" s="3455"/>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78">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8"/>
      <c r="D155" s="3458"/>
      <c r="E155" s="81" t="s">
        <v>2922</v>
      </c>
      <c r="F155" s="147"/>
      <c r="G155" s="62"/>
      <c r="H155" s="1342"/>
      <c r="I155" s="33"/>
      <c r="J155" s="899"/>
      <c r="K155" s="1101">
        <f t="shared" ref="K155:O158" si="367">K132+K136</f>
        <v>0</v>
      </c>
      <c r="L155" s="1102">
        <f t="shared" si="367"/>
        <v>0</v>
      </c>
      <c r="M155" s="1102">
        <f t="shared" si="367"/>
        <v>0</v>
      </c>
      <c r="N155" s="1102">
        <f t="shared" si="367"/>
        <v>0</v>
      </c>
      <c r="O155" s="1103">
        <f t="shared" si="367"/>
        <v>0</v>
      </c>
      <c r="P155" s="1599">
        <f t="shared" si="365"/>
        <v>0</v>
      </c>
      <c r="S155" s="3453"/>
      <c r="T155" s="3454"/>
      <c r="U155" s="3454"/>
      <c r="V155" s="3454"/>
      <c r="W155" s="3455"/>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0">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8"/>
      <c r="D156" s="3458"/>
      <c r="E156" s="81"/>
      <c r="F156" s="147"/>
      <c r="G156" s="62"/>
      <c r="H156" s="1379" t="s">
        <v>2925</v>
      </c>
      <c r="I156" s="73"/>
      <c r="J156" s="899"/>
      <c r="K156" s="1602">
        <f t="shared" si="367"/>
        <v>0</v>
      </c>
      <c r="L156" s="1603">
        <f t="shared" si="367"/>
        <v>0</v>
      </c>
      <c r="M156" s="1603">
        <f t="shared" si="367"/>
        <v>0</v>
      </c>
      <c r="N156" s="1603">
        <f t="shared" si="367"/>
        <v>0</v>
      </c>
      <c r="O156" s="1604">
        <f t="shared" si="367"/>
        <v>0</v>
      </c>
      <c r="P156" s="1605">
        <f t="shared" si="365"/>
        <v>0</v>
      </c>
      <c r="S156" s="3453"/>
      <c r="T156" s="3454"/>
      <c r="U156" s="3454"/>
      <c r="V156" s="3454"/>
      <c r="W156" s="3455"/>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0">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8"/>
      <c r="D157" s="3458"/>
      <c r="E157" s="81" t="s">
        <v>2923</v>
      </c>
      <c r="F157" s="147"/>
      <c r="G157" s="62"/>
      <c r="H157" s="1342"/>
      <c r="I157" s="33"/>
      <c r="J157" s="899"/>
      <c r="K157" s="1101">
        <f t="shared" si="367"/>
        <v>0</v>
      </c>
      <c r="L157" s="1102">
        <f t="shared" si="367"/>
        <v>16</v>
      </c>
      <c r="M157" s="1102">
        <f t="shared" si="367"/>
        <v>32</v>
      </c>
      <c r="N157" s="1102">
        <f t="shared" si="367"/>
        <v>32</v>
      </c>
      <c r="O157" s="1103">
        <f t="shared" si="367"/>
        <v>0</v>
      </c>
      <c r="P157" s="1599">
        <f t="shared" si="365"/>
        <v>80</v>
      </c>
      <c r="S157" s="3453"/>
      <c r="T157" s="3454"/>
      <c r="U157" s="3454"/>
      <c r="V157" s="3454"/>
      <c r="W157" s="3455"/>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78">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6">
        <f t="shared" si="367"/>
        <v>0</v>
      </c>
      <c r="L158" s="1607">
        <f t="shared" si="367"/>
        <v>0</v>
      </c>
      <c r="M158" s="1607">
        <f t="shared" si="367"/>
        <v>0</v>
      </c>
      <c r="N158" s="1607">
        <f t="shared" si="367"/>
        <v>0</v>
      </c>
      <c r="O158" s="1608">
        <f t="shared" si="367"/>
        <v>0</v>
      </c>
      <c r="P158" s="1609">
        <f t="shared" si="365"/>
        <v>0</v>
      </c>
      <c r="Q158" s="3551" t="s">
        <v>3768</v>
      </c>
      <c r="S158" s="3466"/>
      <c r="T158" s="3467"/>
      <c r="U158" s="3467"/>
      <c r="V158" s="3467"/>
      <c r="W158" s="3468"/>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0">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1"/>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0">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4393</v>
      </c>
      <c r="C160" s="1"/>
      <c r="D160" s="1"/>
      <c r="E160" s="1"/>
      <c r="F160" s="1"/>
      <c r="G160" s="62"/>
      <c r="H160" s="33"/>
      <c r="I160" s="33"/>
      <c r="J160" s="62"/>
      <c r="K160" s="471"/>
      <c r="L160" s="471"/>
      <c r="M160" s="471"/>
      <c r="N160" s="471"/>
      <c r="O160" s="471"/>
      <c r="P160" s="471"/>
      <c r="Q160" s="3551"/>
      <c r="S160" s="3121" t="str">
        <f>B160</f>
        <v>UNIT SQUARE FOOTAGE</v>
      </c>
      <c r="T160" s="3121"/>
      <c r="U160" s="3121"/>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0">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3558</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7"/>
      <c r="T161" s="3478"/>
      <c r="U161" s="3478"/>
      <c r="V161" s="3478"/>
      <c r="W161" s="347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0">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3559</v>
      </c>
      <c r="I162" s="33"/>
      <c r="J162" s="62"/>
      <c r="K162" s="1104">
        <f>EN49</f>
        <v>0</v>
      </c>
      <c r="L162" s="1105">
        <f>EO49</f>
        <v>0</v>
      </c>
      <c r="M162" s="1105">
        <f>EP49</f>
        <v>0</v>
      </c>
      <c r="N162" s="1105">
        <f>EQ49</f>
        <v>0</v>
      </c>
      <c r="O162" s="1106">
        <f>ER49</f>
        <v>0</v>
      </c>
      <c r="P162" s="1029">
        <f t="shared" si="368"/>
        <v>0</v>
      </c>
      <c r="Q162" s="1228" t="str">
        <f t="shared" si="369"/>
        <v/>
      </c>
      <c r="S162" s="3453"/>
      <c r="T162" s="3454"/>
      <c r="U162" s="3454"/>
      <c r="V162" s="3454"/>
      <c r="W162" s="3455"/>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0">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6300</v>
      </c>
      <c r="M163" s="1105">
        <f>EU49</f>
        <v>17100</v>
      </c>
      <c r="N163" s="1105">
        <f>EV49</f>
        <v>22800</v>
      </c>
      <c r="O163" s="1106">
        <f>EW49</f>
        <v>0</v>
      </c>
      <c r="P163" s="1029">
        <f t="shared" si="368"/>
        <v>46200</v>
      </c>
      <c r="Q163" s="1228">
        <f t="shared" si="369"/>
        <v>982.97872340425533</v>
      </c>
      <c r="S163" s="3453"/>
      <c r="T163" s="3454"/>
      <c r="U163" s="3454"/>
      <c r="V163" s="3454"/>
      <c r="W163" s="3455"/>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1">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2100</v>
      </c>
      <c r="M164" s="1165">
        <f>EZ49</f>
        <v>4500</v>
      </c>
      <c r="N164" s="1165">
        <f>FA49</f>
        <v>6000</v>
      </c>
      <c r="O164" s="1166">
        <f>FB49</f>
        <v>0</v>
      </c>
      <c r="P164" s="1167">
        <f t="shared" si="368"/>
        <v>12600</v>
      </c>
      <c r="Q164" s="1228">
        <f t="shared" si="369"/>
        <v>969.23076923076928</v>
      </c>
      <c r="S164" s="3453"/>
      <c r="T164" s="3454"/>
      <c r="U164" s="3454"/>
      <c r="V164" s="3454"/>
      <c r="W164" s="3455"/>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0">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3560</v>
      </c>
      <c r="I165" s="33"/>
      <c r="J165" s="899"/>
      <c r="K165" s="1104">
        <f>FC49</f>
        <v>0</v>
      </c>
      <c r="L165" s="1105">
        <f>FD49</f>
        <v>0</v>
      </c>
      <c r="M165" s="1105">
        <f>FE49</f>
        <v>0</v>
      </c>
      <c r="N165" s="1105">
        <f>FF49</f>
        <v>0</v>
      </c>
      <c r="O165" s="1106">
        <f>FG49</f>
        <v>0</v>
      </c>
      <c r="P165" s="1029">
        <f t="shared" si="368"/>
        <v>0</v>
      </c>
      <c r="Q165" s="1228" t="str">
        <f t="shared" si="369"/>
        <v/>
      </c>
      <c r="S165" s="3453"/>
      <c r="T165" s="3454"/>
      <c r="U165" s="3454"/>
      <c r="V165" s="3454"/>
      <c r="W165" s="3455"/>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78">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3561</v>
      </c>
      <c r="I166" s="33"/>
      <c r="J166" s="62"/>
      <c r="K166" s="1104">
        <f>FH49</f>
        <v>0</v>
      </c>
      <c r="L166" s="1105">
        <f>FI49</f>
        <v>0</v>
      </c>
      <c r="M166" s="1105">
        <f>FJ49</f>
        <v>0</v>
      </c>
      <c r="N166" s="1105">
        <f>FK49</f>
        <v>0</v>
      </c>
      <c r="O166" s="1106">
        <f>FL49</f>
        <v>0</v>
      </c>
      <c r="P166" s="1029">
        <f t="shared" si="368"/>
        <v>0</v>
      </c>
      <c r="Q166" s="1228" t="str">
        <f t="shared" si="369"/>
        <v/>
      </c>
      <c r="S166" s="3453"/>
      <c r="T166" s="3454"/>
      <c r="U166" s="3454"/>
      <c r="V166" s="3454"/>
      <c r="W166" s="3455"/>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0">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3562</v>
      </c>
      <c r="I167" s="44"/>
      <c r="J167" s="62"/>
      <c r="K167" s="1080">
        <f>FM49</f>
        <v>0</v>
      </c>
      <c r="L167" s="1081">
        <f>FN49</f>
        <v>0</v>
      </c>
      <c r="M167" s="1081">
        <f>FO49</f>
        <v>0</v>
      </c>
      <c r="N167" s="1081">
        <f>FP49</f>
        <v>0</v>
      </c>
      <c r="O167" s="1082">
        <f>FQ49</f>
        <v>0</v>
      </c>
      <c r="P167" s="1030">
        <f t="shared" si="368"/>
        <v>0</v>
      </c>
      <c r="Q167" s="1228" t="str">
        <f t="shared" si="369"/>
        <v/>
      </c>
      <c r="S167" s="3453"/>
      <c r="T167" s="3454"/>
      <c r="U167" s="3454"/>
      <c r="V167" s="3454"/>
      <c r="W167" s="3455"/>
      <c r="X167" s="1656"/>
      <c r="AA167" s="358"/>
      <c r="AB167" s="361"/>
      <c r="AC167" s="1656"/>
      <c r="AF167" s="358"/>
      <c r="AG167" s="361"/>
      <c r="AH167" s="1656"/>
      <c r="AK167" s="358"/>
      <c r="AL167" s="361"/>
      <c r="AM167" s="1656"/>
      <c r="AP167" s="358"/>
      <c r="AQ167" s="361"/>
      <c r="AR167" s="362"/>
      <c r="AS167" s="362"/>
      <c r="AT167" s="362"/>
      <c r="AU167" s="362"/>
      <c r="AV167" s="362"/>
      <c r="AW167" s="362"/>
      <c r="AX167" s="358"/>
      <c r="AY167" s="358"/>
      <c r="BB167" s="362"/>
      <c r="BC167" s="358"/>
      <c r="BD167" s="358"/>
      <c r="LO167" s="360"/>
      <c r="MD167" s="356"/>
      <c r="ME167" s="356"/>
      <c r="NQ167" s="2480">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3643</v>
      </c>
      <c r="I168" s="73"/>
      <c r="J168" s="1039"/>
      <c r="K168" s="1601">
        <f>SUM(K161:K167)</f>
        <v>0</v>
      </c>
      <c r="L168" s="1601">
        <f>SUM(L161:L167)</f>
        <v>8400</v>
      </c>
      <c r="M168" s="1601">
        <f>SUM(M161:M167)</f>
        <v>21600</v>
      </c>
      <c r="N168" s="1601">
        <f>SUM(N161:N167)</f>
        <v>28800</v>
      </c>
      <c r="O168" s="1601">
        <f>SUM(O161:O167)</f>
        <v>0</v>
      </c>
      <c r="P168" s="1601">
        <f>SUM(K168:O168)</f>
        <v>58800</v>
      </c>
      <c r="S168" s="3453"/>
      <c r="T168" s="3454"/>
      <c r="U168" s="3454"/>
      <c r="V168" s="3454"/>
      <c r="W168" s="3455"/>
      <c r="X168" s="1656"/>
      <c r="AA168" s="358"/>
      <c r="AB168" s="361"/>
      <c r="AC168" s="1656"/>
      <c r="AF168" s="358"/>
      <c r="AG168" s="361"/>
      <c r="AH168" s="1656"/>
      <c r="AK168" s="358"/>
      <c r="AL168" s="361"/>
      <c r="AM168" s="1656"/>
      <c r="AP168" s="358"/>
      <c r="AQ168" s="361"/>
      <c r="AR168" s="362"/>
      <c r="AS168" s="362"/>
      <c r="AT168" s="362"/>
      <c r="AU168" s="362"/>
      <c r="AV168" s="362"/>
      <c r="AW168" s="362"/>
      <c r="AX168" s="358"/>
      <c r="AY168" s="358"/>
      <c r="BB168" s="362"/>
      <c r="BC168" s="358"/>
      <c r="BD168" s="358"/>
      <c r="LO168" s="360"/>
      <c r="MD168" s="356"/>
      <c r="ME168" s="356"/>
      <c r="NQ168" s="2478">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2800</v>
      </c>
      <c r="M169" s="1108">
        <f>FT49</f>
        <v>7200</v>
      </c>
      <c r="N169" s="1108">
        <f>FU49</f>
        <v>9600</v>
      </c>
      <c r="O169" s="1109">
        <f>FV49</f>
        <v>0</v>
      </c>
      <c r="P169" s="1036">
        <f>SUM(K169:O169)</f>
        <v>19600</v>
      </c>
      <c r="Q169" s="1175">
        <f>IF(OR(P64=0,P64=""),"",P169/P64)</f>
        <v>980</v>
      </c>
      <c r="S169" s="3453"/>
      <c r="T169" s="3454"/>
      <c r="U169" s="3454"/>
      <c r="V169" s="3454"/>
      <c r="W169" s="3455"/>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0">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0">
        <f>SUM(K168:K169)</f>
        <v>0</v>
      </c>
      <c r="L170" s="1600">
        <f>SUM(L168:L169)</f>
        <v>11200</v>
      </c>
      <c r="M170" s="1600">
        <f>SUM(M168:M169)</f>
        <v>28800</v>
      </c>
      <c r="N170" s="1600">
        <f>SUM(N168:N169)</f>
        <v>38400</v>
      </c>
      <c r="O170" s="1600">
        <f>SUM(O168:O169)</f>
        <v>0</v>
      </c>
      <c r="P170" s="1600">
        <f>SUM(K170:O170)</f>
        <v>78400</v>
      </c>
      <c r="S170" s="3453"/>
      <c r="T170" s="3454"/>
      <c r="U170" s="3454"/>
      <c r="V170" s="3454"/>
      <c r="W170" s="3455"/>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0">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3"/>
      <c r="T171" s="3454"/>
      <c r="U171" s="3454"/>
      <c r="V171" s="3454"/>
      <c r="W171" s="3455"/>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0">
        <v>171</v>
      </c>
    </row>
    <row r="172" spans="1:493" ht="14.25" customHeight="1">
      <c r="C172" s="4" t="s">
        <v>503</v>
      </c>
      <c r="D172" s="1"/>
      <c r="E172" s="1"/>
      <c r="F172" s="1"/>
      <c r="G172" s="1"/>
      <c r="H172" s="62"/>
      <c r="I172" s="62"/>
      <c r="J172" s="62"/>
      <c r="K172" s="1035">
        <f>SUM(K170:K171)</f>
        <v>0</v>
      </c>
      <c r="L172" s="1035">
        <f>SUM(L170:L171)</f>
        <v>11200</v>
      </c>
      <c r="M172" s="1035">
        <f>SUM(M170:M171)</f>
        <v>28800</v>
      </c>
      <c r="N172" s="1035">
        <f>SUM(N170:N171)</f>
        <v>38400</v>
      </c>
      <c r="O172" s="1035">
        <f>SUM(O170:O171)</f>
        <v>0</v>
      </c>
      <c r="P172" s="1035">
        <f>SUM(K172:O172)</f>
        <v>78400</v>
      </c>
      <c r="S172" s="3466"/>
      <c r="T172" s="3467"/>
      <c r="U172" s="3467"/>
      <c r="V172" s="3467"/>
      <c r="W172" s="3468"/>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0">
        <v>172</v>
      </c>
    </row>
    <row r="173" spans="1:493" ht="14.1" customHeight="1">
      <c r="NQ173" s="2480">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3"/>
      <c r="JX174" s="358"/>
      <c r="JY174" s="358"/>
      <c r="JZ174" s="358"/>
      <c r="KA174" s="358"/>
      <c r="KB174" s="1803"/>
      <c r="KC174" s="358"/>
      <c r="KD174" s="358"/>
      <c r="KE174" s="358"/>
      <c r="KF174" s="358"/>
      <c r="KG174" s="1803"/>
      <c r="KH174" s="358"/>
      <c r="KI174" s="358"/>
      <c r="KJ174" s="358"/>
      <c r="KK174" s="358"/>
      <c r="KL174" s="1803"/>
      <c r="KM174" s="1803"/>
      <c r="KN174" s="1803"/>
      <c r="KO174" s="1803"/>
      <c r="KP174" s="1803"/>
      <c r="KQ174" s="1803"/>
      <c r="KR174" s="1803"/>
      <c r="KS174" s="1803"/>
      <c r="KT174" s="1803"/>
      <c r="KU174" s="1803"/>
      <c r="KV174" s="1803"/>
      <c r="KW174" s="1803"/>
      <c r="KX174" s="1803"/>
      <c r="KY174" s="1803"/>
      <c r="KZ174" s="1803"/>
      <c r="LA174" s="1803"/>
      <c r="LB174" s="1803"/>
      <c r="LC174" s="1803"/>
      <c r="LD174" s="1803"/>
      <c r="LE174" s="1803"/>
      <c r="LF174" s="1803"/>
      <c r="LG174" s="1803"/>
      <c r="LH174" s="358"/>
      <c r="LI174" s="358"/>
      <c r="LJ174" s="358"/>
      <c r="LK174" s="358"/>
      <c r="LL174" s="358"/>
      <c r="LM174" s="358"/>
      <c r="LN174" s="1656"/>
      <c r="LO174" s="358"/>
      <c r="LP174" s="358"/>
      <c r="LQ174" s="358"/>
      <c r="LR174" s="358"/>
      <c r="LS174" s="358"/>
      <c r="LT174" s="358"/>
      <c r="LU174" s="358"/>
      <c r="LV174" s="358"/>
      <c r="LW174" s="358"/>
      <c r="LX174" s="358"/>
      <c r="LY174" s="358"/>
      <c r="LZ174" s="358"/>
      <c r="MA174" s="358"/>
      <c r="MB174" s="358"/>
      <c r="MC174" s="358"/>
      <c r="MD174" s="1656"/>
      <c r="ME174" s="1656"/>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0"/>
      <c r="NQ174" s="2481">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3765</v>
      </c>
      <c r="D175" s="1"/>
      <c r="E175" s="1"/>
      <c r="F175" s="1"/>
      <c r="G175" s="1"/>
      <c r="H175" s="1"/>
      <c r="I175" s="1"/>
      <c r="J175" s="1"/>
      <c r="K175" s="1227" t="str">
        <f>IF(OR(K67="",K67=0),"",K172/K67)</f>
        <v/>
      </c>
      <c r="L175" s="1227">
        <f>IF(OR(L67="",L67=0),"",L172/L67)</f>
        <v>700</v>
      </c>
      <c r="M175" s="1227">
        <f>IF(OR(M67="",M67=0),"",M172/M67)</f>
        <v>900</v>
      </c>
      <c r="N175" s="1227">
        <f>IF(OR(N67="",N67=0),"",N172/N67)</f>
        <v>1200</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3"/>
      <c r="JX175" s="358"/>
      <c r="JY175" s="358"/>
      <c r="JZ175" s="358"/>
      <c r="KA175" s="358"/>
      <c r="KB175" s="1803"/>
      <c r="KC175" s="358"/>
      <c r="KD175" s="358"/>
      <c r="KE175" s="358"/>
      <c r="KF175" s="358"/>
      <c r="KG175" s="1803"/>
      <c r="KH175" s="358"/>
      <c r="KI175" s="358"/>
      <c r="KJ175" s="358"/>
      <c r="KK175" s="358"/>
      <c r="KL175" s="1803"/>
      <c r="KM175" s="1803"/>
      <c r="KN175" s="1803"/>
      <c r="KO175" s="1803"/>
      <c r="KP175" s="1803"/>
      <c r="KQ175" s="1803"/>
      <c r="KR175" s="1803"/>
      <c r="KS175" s="1803"/>
      <c r="KT175" s="1803"/>
      <c r="KU175" s="1803"/>
      <c r="KV175" s="1803"/>
      <c r="KW175" s="1803"/>
      <c r="KX175" s="1803"/>
      <c r="KY175" s="1803"/>
      <c r="KZ175" s="1803"/>
      <c r="LA175" s="1803"/>
      <c r="LB175" s="1803"/>
      <c r="LC175" s="1803"/>
      <c r="LD175" s="1803"/>
      <c r="LE175" s="1803"/>
      <c r="LF175" s="1803"/>
      <c r="LG175" s="1803"/>
      <c r="LH175" s="358"/>
      <c r="LI175" s="358"/>
      <c r="LJ175" s="358"/>
      <c r="LK175" s="358"/>
      <c r="LL175" s="358"/>
      <c r="LM175" s="358"/>
      <c r="LN175" s="1656"/>
      <c r="LO175" s="358"/>
      <c r="LP175" s="358"/>
      <c r="LQ175" s="358"/>
      <c r="LR175" s="358"/>
      <c r="LS175" s="358"/>
      <c r="LT175" s="358"/>
      <c r="LU175" s="358"/>
      <c r="LV175" s="358"/>
      <c r="LW175" s="358"/>
      <c r="LX175" s="358"/>
      <c r="LY175" s="358"/>
      <c r="LZ175" s="358"/>
      <c r="MA175" s="358"/>
      <c r="MB175" s="358"/>
      <c r="MC175" s="358"/>
      <c r="MD175" s="1656"/>
      <c r="ME175" s="1656"/>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0"/>
      <c r="NQ175" s="2480">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3"/>
      <c r="JX176" s="358"/>
      <c r="JY176" s="358"/>
      <c r="JZ176" s="358"/>
      <c r="KA176" s="358"/>
      <c r="KB176" s="1803"/>
      <c r="KC176" s="358"/>
      <c r="KD176" s="358"/>
      <c r="KE176" s="358"/>
      <c r="KF176" s="358"/>
      <c r="KG176" s="1803"/>
      <c r="KH176" s="358"/>
      <c r="KI176" s="358"/>
      <c r="KJ176" s="358"/>
      <c r="KK176" s="358"/>
      <c r="KL176" s="1803"/>
      <c r="KM176" s="1803"/>
      <c r="KN176" s="1803"/>
      <c r="KO176" s="1803"/>
      <c r="KP176" s="1803"/>
      <c r="KQ176" s="1803"/>
      <c r="KR176" s="1803"/>
      <c r="KS176" s="1803"/>
      <c r="KT176" s="1803"/>
      <c r="KU176" s="1803"/>
      <c r="KV176" s="1803"/>
      <c r="KW176" s="1803"/>
      <c r="KX176" s="1803"/>
      <c r="KY176" s="1803"/>
      <c r="KZ176" s="1803"/>
      <c r="LA176" s="1803"/>
      <c r="LB176" s="1803"/>
      <c r="LC176" s="1803"/>
      <c r="LD176" s="1803"/>
      <c r="LE176" s="1803"/>
      <c r="LF176" s="1803"/>
      <c r="LG176" s="1803"/>
      <c r="LH176" s="358"/>
      <c r="LI176" s="358"/>
      <c r="LJ176" s="358"/>
      <c r="LK176" s="358"/>
      <c r="LL176" s="358"/>
      <c r="LM176" s="358"/>
      <c r="LN176" s="1656"/>
      <c r="LO176" s="358"/>
      <c r="LP176" s="358"/>
      <c r="LQ176" s="358"/>
      <c r="LR176" s="358"/>
      <c r="LS176" s="358"/>
      <c r="LT176" s="358"/>
      <c r="LU176" s="358"/>
      <c r="LV176" s="358"/>
      <c r="LW176" s="358"/>
      <c r="LX176" s="358"/>
      <c r="LY176" s="358"/>
      <c r="LZ176" s="358"/>
      <c r="MA176" s="358"/>
      <c r="MB176" s="358"/>
      <c r="MC176" s="358"/>
      <c r="MD176" s="1656"/>
      <c r="ME176" s="1656"/>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0"/>
      <c r="NQ176" s="2478">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4543</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3"/>
      <c r="JX177" s="358"/>
      <c r="JY177" s="358"/>
      <c r="JZ177" s="358"/>
      <c r="KA177" s="358"/>
      <c r="KB177" s="1803"/>
      <c r="KC177" s="358"/>
      <c r="KD177" s="358"/>
      <c r="KE177" s="358"/>
      <c r="KF177" s="358"/>
      <c r="KG177" s="1803"/>
      <c r="KH177" s="358"/>
      <c r="KI177" s="358"/>
      <c r="KJ177" s="358"/>
      <c r="KK177" s="358"/>
      <c r="KL177" s="1803"/>
      <c r="KM177" s="1803"/>
      <c r="KN177" s="1803"/>
      <c r="KO177" s="1803"/>
      <c r="KP177" s="1803"/>
      <c r="KQ177" s="1803"/>
      <c r="KR177" s="1803"/>
      <c r="KS177" s="1803"/>
      <c r="KT177" s="1803"/>
      <c r="KU177" s="1803"/>
      <c r="KV177" s="1803"/>
      <c r="KW177" s="1803"/>
      <c r="KX177" s="1803"/>
      <c r="KY177" s="1803"/>
      <c r="KZ177" s="1803"/>
      <c r="LA177" s="1803"/>
      <c r="LB177" s="1803"/>
      <c r="LC177" s="1803"/>
      <c r="LD177" s="1803"/>
      <c r="LE177" s="1803"/>
      <c r="LF177" s="1803"/>
      <c r="LG177" s="1803"/>
      <c r="LH177" s="358"/>
      <c r="LI177" s="358"/>
      <c r="LJ177" s="358"/>
      <c r="LK177" s="358"/>
      <c r="LL177" s="358"/>
      <c r="LM177" s="358"/>
      <c r="LN177" s="1656"/>
      <c r="LO177" s="358"/>
      <c r="LP177" s="358"/>
      <c r="LQ177" s="358"/>
      <c r="LR177" s="358"/>
      <c r="LS177" s="358"/>
      <c r="LT177" s="358"/>
      <c r="LU177" s="358"/>
      <c r="LV177" s="358"/>
      <c r="LW177" s="358"/>
      <c r="LX177" s="358"/>
      <c r="LY177" s="358"/>
      <c r="LZ177" s="358"/>
      <c r="MA177" s="358"/>
      <c r="MB177" s="358"/>
      <c r="MC177" s="358"/>
      <c r="MD177" s="1656"/>
      <c r="ME177" s="1656"/>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0"/>
      <c r="NQ177" s="2480">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4539</v>
      </c>
      <c r="K178" s="3483">
        <v>16335</v>
      </c>
      <c r="L178" s="3484"/>
      <c r="X178" s="1728"/>
      <c r="Y178" s="1728"/>
      <c r="Z178" s="1533">
        <v>68</v>
      </c>
      <c r="AA178" s="1728"/>
      <c r="AB178" s="1728"/>
      <c r="AC178" s="1728"/>
      <c r="AD178" s="1728"/>
      <c r="AE178" s="1728"/>
      <c r="AF178" s="1728"/>
      <c r="AG178" s="1728"/>
      <c r="AH178" s="1728"/>
      <c r="AI178" s="1728"/>
      <c r="AJ178" s="1728"/>
      <c r="AK178" s="1728"/>
      <c r="AL178" s="1728"/>
      <c r="AM178" s="1728"/>
      <c r="AN178" s="1728"/>
      <c r="AO178" s="1728"/>
      <c r="AP178" s="1728"/>
      <c r="AQ178" s="1728"/>
      <c r="AR178" s="1728"/>
      <c r="AS178" s="1728"/>
      <c r="AT178" s="1728"/>
      <c r="AU178" s="1728"/>
      <c r="AV178" s="1728"/>
      <c r="AW178" s="1728"/>
      <c r="AX178" s="1728"/>
      <c r="AY178" s="1728"/>
      <c r="AZ178" s="1728"/>
      <c r="BA178" s="1728"/>
      <c r="BB178" s="1728"/>
      <c r="BC178" s="1728"/>
      <c r="BD178" s="1728"/>
      <c r="BE178" s="1728"/>
      <c r="BF178" s="1728"/>
      <c r="BG178" s="1728"/>
      <c r="BH178" s="1728"/>
      <c r="BI178" s="1728"/>
      <c r="BJ178" s="1728"/>
      <c r="BK178" s="1728"/>
      <c r="BL178" s="1728"/>
      <c r="BM178" s="1728"/>
      <c r="BN178" s="1728"/>
      <c r="BO178" s="1728"/>
      <c r="BP178" s="1728"/>
      <c r="BQ178" s="1728"/>
      <c r="BR178" s="1728"/>
      <c r="BS178" s="1728"/>
      <c r="BT178" s="1728"/>
      <c r="BU178" s="1728"/>
      <c r="BV178" s="1728"/>
      <c r="BW178" s="1728"/>
      <c r="BX178" s="1728"/>
      <c r="BY178" s="1728"/>
      <c r="BZ178" s="1728"/>
      <c r="CA178" s="1728"/>
      <c r="CB178" s="1728"/>
      <c r="CC178" s="1728"/>
      <c r="CD178" s="1728"/>
      <c r="CE178" s="1728"/>
      <c r="CF178" s="1728"/>
      <c r="CG178" s="1728"/>
      <c r="CH178" s="1728"/>
      <c r="CI178" s="1728"/>
      <c r="CJ178" s="1728"/>
      <c r="CK178" s="1728"/>
      <c r="CL178" s="1728"/>
      <c r="CM178" s="1728"/>
      <c r="CN178" s="1728"/>
      <c r="CO178" s="1728"/>
      <c r="CP178" s="1728"/>
      <c r="CQ178" s="1728"/>
      <c r="CR178" s="1728"/>
      <c r="CS178" s="1728"/>
      <c r="CT178" s="1728"/>
      <c r="CU178" s="1728"/>
      <c r="CV178" s="1728"/>
      <c r="CW178" s="1728"/>
      <c r="CX178" s="1728"/>
      <c r="CY178" s="1728"/>
      <c r="CZ178" s="1728"/>
      <c r="DA178" s="1728"/>
      <c r="DB178" s="1728"/>
      <c r="DC178" s="1728"/>
      <c r="DD178" s="1728"/>
      <c r="DE178" s="1728"/>
      <c r="DF178" s="1728"/>
      <c r="DG178" s="1728"/>
      <c r="DH178" s="1728"/>
      <c r="DI178" s="1728"/>
      <c r="DJ178" s="1728"/>
      <c r="DK178" s="1728"/>
      <c r="DL178" s="1728"/>
      <c r="DM178" s="1728"/>
      <c r="DN178" s="1728"/>
      <c r="DO178" s="1728"/>
      <c r="DP178" s="1728"/>
      <c r="DQ178" s="1728"/>
      <c r="DR178" s="1728"/>
      <c r="DS178" s="1728"/>
      <c r="DT178" s="1728"/>
      <c r="DU178" s="1728"/>
      <c r="DV178" s="1728"/>
      <c r="DW178" s="1728"/>
      <c r="DX178" s="1728"/>
      <c r="DY178" s="1728"/>
      <c r="DZ178" s="1728"/>
      <c r="EA178" s="1728"/>
      <c r="EB178" s="1728"/>
      <c r="EC178" s="1728"/>
      <c r="ED178" s="1728"/>
      <c r="EE178" s="1728"/>
      <c r="EF178" s="1728"/>
      <c r="EG178" s="1728"/>
      <c r="EH178" s="1728"/>
      <c r="EI178" s="1728"/>
      <c r="EJ178" s="1728"/>
      <c r="EK178" s="1728"/>
      <c r="EL178" s="1728"/>
      <c r="EM178" s="1728"/>
      <c r="EN178" s="1728"/>
      <c r="EO178" s="1728"/>
      <c r="EP178" s="1728"/>
      <c r="EQ178" s="1728"/>
      <c r="ER178" s="1728"/>
      <c r="ES178" s="1728"/>
      <c r="ET178" s="1728"/>
      <c r="EU178" s="1728"/>
      <c r="EV178" s="1728"/>
      <c r="EW178" s="1728"/>
      <c r="EX178" s="1728"/>
      <c r="EY178" s="1728"/>
      <c r="EZ178" s="1728"/>
      <c r="FA178" s="1728"/>
      <c r="FB178" s="1728"/>
      <c r="FC178" s="1728"/>
      <c r="FD178" s="1728"/>
      <c r="FE178" s="1728"/>
      <c r="FF178" s="1728"/>
      <c r="FG178" s="1728"/>
      <c r="FH178" s="1728"/>
      <c r="FI178" s="1728"/>
      <c r="FJ178" s="1728"/>
      <c r="FK178" s="1728"/>
      <c r="FL178" s="1728"/>
      <c r="FM178" s="1728"/>
      <c r="FN178" s="1728"/>
      <c r="FO178" s="1728"/>
      <c r="FP178" s="1728"/>
      <c r="FQ178" s="1728"/>
      <c r="FR178" s="1728"/>
      <c r="FS178" s="1728"/>
      <c r="FT178" s="1728"/>
      <c r="FU178" s="1728"/>
      <c r="FV178" s="1728"/>
      <c r="FW178" s="1728"/>
      <c r="FX178" s="1728"/>
      <c r="FY178" s="1728"/>
      <c r="FZ178" s="1728"/>
      <c r="GA178" s="1728"/>
      <c r="GB178" s="1728"/>
      <c r="GC178" s="1728"/>
      <c r="GD178" s="1728"/>
      <c r="GE178" s="1728"/>
      <c r="GF178" s="1728"/>
      <c r="GG178" s="1728"/>
      <c r="GH178" s="1728"/>
      <c r="GI178" s="1728"/>
      <c r="GJ178" s="1728"/>
      <c r="GK178" s="1728"/>
      <c r="GL178" s="1728"/>
      <c r="GM178" s="1728"/>
      <c r="GN178" s="1728"/>
      <c r="GO178" s="1728"/>
      <c r="GP178" s="1728"/>
      <c r="GQ178" s="1728"/>
      <c r="GR178" s="1728"/>
      <c r="GS178" s="1728"/>
      <c r="GT178" s="1728"/>
      <c r="GU178" s="1728"/>
      <c r="GV178" s="1728"/>
      <c r="GW178" s="1728"/>
      <c r="GX178" s="1728"/>
      <c r="GY178" s="1728"/>
      <c r="GZ178" s="1728"/>
      <c r="HA178" s="1728"/>
      <c r="HB178" s="1728"/>
      <c r="HC178" s="1728"/>
      <c r="HD178" s="1728"/>
      <c r="HE178" s="1728"/>
      <c r="HF178" s="1728"/>
      <c r="HG178" s="1728"/>
      <c r="HH178" s="1728"/>
      <c r="HI178" s="1728"/>
      <c r="HJ178" s="1728"/>
      <c r="HK178" s="1728"/>
      <c r="HL178" s="1728"/>
      <c r="HM178" s="1728"/>
      <c r="HN178" s="1728"/>
      <c r="HO178" s="1728"/>
      <c r="HP178" s="1728"/>
      <c r="HQ178" s="1728"/>
      <c r="HR178" s="1728"/>
      <c r="HS178" s="1728"/>
      <c r="HT178" s="1728"/>
      <c r="HU178" s="1728"/>
      <c r="HV178" s="1728"/>
      <c r="HW178" s="1728"/>
      <c r="HX178" s="1728"/>
      <c r="HY178" s="1728"/>
      <c r="HZ178" s="1728"/>
      <c r="IA178" s="1728"/>
      <c r="IB178" s="1728"/>
      <c r="IC178" s="1728"/>
      <c r="ID178" s="1728"/>
      <c r="IE178" s="1728"/>
      <c r="IF178" s="1728"/>
      <c r="IG178" s="1728"/>
      <c r="IH178" s="1728"/>
      <c r="II178" s="1728"/>
      <c r="IJ178" s="1728"/>
      <c r="IK178" s="1728"/>
      <c r="IL178" s="1728"/>
      <c r="IM178" s="1728"/>
      <c r="IN178" s="1728"/>
      <c r="IO178" s="1728"/>
      <c r="IP178" s="1728"/>
      <c r="IQ178" s="1728"/>
      <c r="IR178" s="1728"/>
      <c r="IS178" s="1728"/>
      <c r="IT178" s="1728"/>
      <c r="IU178" s="1728"/>
      <c r="IV178" s="1728"/>
      <c r="IW178" s="1728"/>
      <c r="IX178" s="1728"/>
      <c r="IY178" s="1728"/>
      <c r="IZ178" s="1728"/>
      <c r="JA178" s="1728"/>
      <c r="JB178" s="1728"/>
      <c r="JC178" s="1728"/>
      <c r="JD178" s="1728"/>
      <c r="JE178" s="1728"/>
      <c r="JF178" s="1728"/>
      <c r="JG178" s="1728"/>
      <c r="JH178" s="1728"/>
      <c r="JI178" s="1728"/>
      <c r="JJ178" s="1728"/>
      <c r="JK178" s="1728"/>
      <c r="JL178" s="1728"/>
      <c r="JM178" s="1728"/>
      <c r="JN178" s="1728"/>
      <c r="JO178" s="1728"/>
      <c r="JP178" s="1728"/>
      <c r="JQ178" s="1728"/>
      <c r="JR178" s="1728"/>
      <c r="JS178" s="1728"/>
      <c r="JT178" s="1728"/>
      <c r="JU178" s="1728"/>
      <c r="JV178" s="1728"/>
      <c r="JW178" s="1728"/>
      <c r="JX178" s="1728"/>
      <c r="JY178" s="1728"/>
      <c r="JZ178" s="1728"/>
      <c r="KA178" s="1728"/>
      <c r="KB178" s="1728"/>
      <c r="KC178" s="1728"/>
      <c r="KD178" s="1728"/>
      <c r="KE178" s="1728"/>
      <c r="KF178" s="1728"/>
      <c r="KG178" s="1728"/>
      <c r="KH178" s="1728"/>
      <c r="KI178" s="1728"/>
      <c r="KJ178" s="1728"/>
      <c r="KK178" s="1728"/>
      <c r="KL178" s="1728"/>
      <c r="KM178" s="1728"/>
      <c r="KN178" s="1728"/>
      <c r="KO178" s="1728"/>
      <c r="KP178" s="1728"/>
      <c r="KQ178" s="1728"/>
      <c r="KR178" s="1728"/>
      <c r="KS178" s="1728"/>
      <c r="KT178" s="1728"/>
      <c r="KU178" s="1728"/>
      <c r="KV178" s="1728"/>
      <c r="KW178" s="1728"/>
      <c r="KX178" s="1728"/>
      <c r="KY178" s="1728"/>
      <c r="KZ178" s="1728"/>
      <c r="LA178" s="1728"/>
      <c r="LB178" s="1728"/>
      <c r="LC178" s="1728"/>
      <c r="LD178" s="1728"/>
      <c r="LE178" s="1728"/>
      <c r="LF178" s="1728"/>
      <c r="LG178" s="1728"/>
      <c r="LH178" s="1728"/>
      <c r="LI178" s="1728"/>
      <c r="LJ178" s="1728"/>
      <c r="LK178" s="1728"/>
      <c r="LL178" s="1728"/>
      <c r="LM178" s="1728"/>
      <c r="LN178" s="1728"/>
      <c r="LO178" s="1728"/>
      <c r="LP178" s="1728"/>
      <c r="LQ178" s="1728"/>
      <c r="LR178" s="1728"/>
      <c r="LS178" s="1728"/>
      <c r="LT178" s="1728"/>
      <c r="LU178" s="1728"/>
      <c r="LV178" s="1728"/>
      <c r="LW178" s="1728"/>
      <c r="LX178" s="1728"/>
      <c r="LY178" s="1728"/>
      <c r="LZ178" s="1728"/>
      <c r="MA178" s="1728"/>
      <c r="MB178" s="1728"/>
      <c r="MC178" s="1728"/>
      <c r="MD178" s="1728"/>
      <c r="ME178" s="1728"/>
      <c r="MF178" s="1728"/>
      <c r="MG178" s="1728"/>
      <c r="MH178" s="1728"/>
      <c r="MI178" s="1728"/>
      <c r="MJ178" s="1728"/>
      <c r="MK178" s="1728"/>
      <c r="ML178" s="1728"/>
      <c r="MM178" s="1728"/>
      <c r="MN178" s="1728"/>
      <c r="MO178" s="1728"/>
      <c r="MP178" s="1728"/>
      <c r="MQ178" s="1728"/>
      <c r="MR178" s="1728"/>
      <c r="MS178" s="1728"/>
      <c r="MT178" s="1728"/>
      <c r="NO178" s="1728"/>
      <c r="NP178" s="1728"/>
      <c r="NQ178" s="2480">
        <v>178</v>
      </c>
    </row>
    <row r="179" spans="1:493" s="144" customFormat="1" ht="13.35" customHeight="1">
      <c r="A179" s="374"/>
      <c r="C179" s="253" t="s">
        <v>242</v>
      </c>
      <c r="K179" s="3485">
        <f>P172+K178</f>
        <v>94735</v>
      </c>
      <c r="L179" s="3486"/>
      <c r="X179" s="1728"/>
      <c r="Y179" s="1728"/>
      <c r="Z179" s="1533">
        <v>69</v>
      </c>
      <c r="AA179" s="1728"/>
      <c r="AB179" s="1728"/>
      <c r="AC179" s="1728"/>
      <c r="AD179" s="1728"/>
      <c r="AE179" s="1728"/>
      <c r="AF179" s="1728"/>
      <c r="AG179" s="1728"/>
      <c r="AH179" s="1728"/>
      <c r="AI179" s="1728"/>
      <c r="AJ179" s="1728"/>
      <c r="AK179" s="1728"/>
      <c r="AL179" s="1728"/>
      <c r="AM179" s="1728"/>
      <c r="AN179" s="1728"/>
      <c r="AO179" s="1728"/>
      <c r="AP179" s="1728"/>
      <c r="AQ179" s="1728"/>
      <c r="AR179" s="1728"/>
      <c r="AS179" s="1728"/>
      <c r="AT179" s="1728"/>
      <c r="AU179" s="1728"/>
      <c r="AV179" s="1728"/>
      <c r="AW179" s="1728"/>
      <c r="AX179" s="1728"/>
      <c r="AY179" s="1728"/>
      <c r="AZ179" s="1728"/>
      <c r="BA179" s="1728"/>
      <c r="BB179" s="1728"/>
      <c r="BC179" s="1728"/>
      <c r="BD179" s="1728"/>
      <c r="BE179" s="1728"/>
      <c r="BF179" s="1728"/>
      <c r="BG179" s="1728"/>
      <c r="BH179" s="1728"/>
      <c r="BI179" s="1728"/>
      <c r="BJ179" s="1728"/>
      <c r="BK179" s="1728"/>
      <c r="BL179" s="1728"/>
      <c r="BM179" s="1728"/>
      <c r="BN179" s="1728"/>
      <c r="BO179" s="1728"/>
      <c r="BP179" s="1728"/>
      <c r="BQ179" s="1728"/>
      <c r="BR179" s="1728"/>
      <c r="BS179" s="1728"/>
      <c r="BT179" s="1728"/>
      <c r="BU179" s="1728"/>
      <c r="BV179" s="1728"/>
      <c r="BW179" s="1728"/>
      <c r="BX179" s="1728"/>
      <c r="BY179" s="1728"/>
      <c r="BZ179" s="1728"/>
      <c r="CA179" s="1728"/>
      <c r="CB179" s="1728"/>
      <c r="CC179" s="1728"/>
      <c r="CD179" s="1728"/>
      <c r="CE179" s="1728"/>
      <c r="CF179" s="1728"/>
      <c r="CG179" s="1728"/>
      <c r="CH179" s="1728"/>
      <c r="CI179" s="1728"/>
      <c r="CJ179" s="1728"/>
      <c r="CK179" s="1728"/>
      <c r="CL179" s="1728"/>
      <c r="CM179" s="1728"/>
      <c r="CN179" s="1728"/>
      <c r="CO179" s="1728"/>
      <c r="CP179" s="1728"/>
      <c r="CQ179" s="1728"/>
      <c r="CR179" s="1728"/>
      <c r="CS179" s="1728"/>
      <c r="CT179" s="1728"/>
      <c r="CU179" s="1728"/>
      <c r="CV179" s="1728"/>
      <c r="CW179" s="1728"/>
      <c r="CX179" s="1728"/>
      <c r="CY179" s="1728"/>
      <c r="CZ179" s="1728"/>
      <c r="DA179" s="1728"/>
      <c r="DB179" s="1728"/>
      <c r="DC179" s="1728"/>
      <c r="DD179" s="1728"/>
      <c r="DE179" s="1728"/>
      <c r="DF179" s="1728"/>
      <c r="DG179" s="1728"/>
      <c r="DH179" s="1728"/>
      <c r="DI179" s="1728"/>
      <c r="DJ179" s="1728"/>
      <c r="DK179" s="1728"/>
      <c r="DL179" s="1728"/>
      <c r="DM179" s="1728"/>
      <c r="DN179" s="1728"/>
      <c r="DO179" s="1728"/>
      <c r="DP179" s="1728"/>
      <c r="DQ179" s="1728"/>
      <c r="DR179" s="1728"/>
      <c r="DS179" s="1728"/>
      <c r="DT179" s="1728"/>
      <c r="DU179" s="1728"/>
      <c r="DV179" s="1728"/>
      <c r="DW179" s="1728"/>
      <c r="DX179" s="1728"/>
      <c r="DY179" s="1728"/>
      <c r="DZ179" s="1728"/>
      <c r="EA179" s="1728"/>
      <c r="EB179" s="1728"/>
      <c r="EC179" s="1728"/>
      <c r="ED179" s="1728"/>
      <c r="EE179" s="1728"/>
      <c r="EF179" s="1728"/>
      <c r="EG179" s="1728"/>
      <c r="EH179" s="1728"/>
      <c r="EI179" s="1728"/>
      <c r="EJ179" s="1728"/>
      <c r="EK179" s="1728"/>
      <c r="EL179" s="1728"/>
      <c r="EM179" s="1728"/>
      <c r="EN179" s="1728"/>
      <c r="EO179" s="1728"/>
      <c r="EP179" s="1728"/>
      <c r="EQ179" s="1728"/>
      <c r="ER179" s="1728"/>
      <c r="ES179" s="1728"/>
      <c r="ET179" s="1728"/>
      <c r="EU179" s="1728"/>
      <c r="EV179" s="1728"/>
      <c r="EW179" s="1728"/>
      <c r="EX179" s="1728"/>
      <c r="EY179" s="1728"/>
      <c r="EZ179" s="1728"/>
      <c r="FA179" s="1728"/>
      <c r="FB179" s="1728"/>
      <c r="FC179" s="1728"/>
      <c r="FD179" s="1728"/>
      <c r="FE179" s="1728"/>
      <c r="FF179" s="1728"/>
      <c r="FG179" s="1728"/>
      <c r="FH179" s="1728"/>
      <c r="FI179" s="1728"/>
      <c r="FJ179" s="1728"/>
      <c r="FK179" s="1728"/>
      <c r="FL179" s="1728"/>
      <c r="FM179" s="1728"/>
      <c r="FN179" s="1728"/>
      <c r="FO179" s="1728"/>
      <c r="FP179" s="1728"/>
      <c r="FQ179" s="1728"/>
      <c r="FR179" s="1728"/>
      <c r="FS179" s="1728"/>
      <c r="FT179" s="1728"/>
      <c r="FU179" s="1728"/>
      <c r="FV179" s="1728"/>
      <c r="FW179" s="1728"/>
      <c r="FX179" s="1728"/>
      <c r="FY179" s="1728"/>
      <c r="FZ179" s="1728"/>
      <c r="GA179" s="1728"/>
      <c r="GB179" s="1728"/>
      <c r="GC179" s="1728"/>
      <c r="GD179" s="1728"/>
      <c r="GE179" s="1728"/>
      <c r="GF179" s="1728"/>
      <c r="GG179" s="1728"/>
      <c r="GH179" s="1728"/>
      <c r="GI179" s="1728"/>
      <c r="GJ179" s="1728"/>
      <c r="GK179" s="1728"/>
      <c r="GL179" s="1728"/>
      <c r="GM179" s="1728"/>
      <c r="GN179" s="1728"/>
      <c r="GO179" s="1728"/>
      <c r="GP179" s="1728"/>
      <c r="GQ179" s="1728"/>
      <c r="GR179" s="1728"/>
      <c r="GS179" s="1728"/>
      <c r="GT179" s="1728"/>
      <c r="GU179" s="1728"/>
      <c r="GV179" s="1728"/>
      <c r="GW179" s="1728"/>
      <c r="GX179" s="1728"/>
      <c r="GY179" s="1728"/>
      <c r="GZ179" s="1728"/>
      <c r="HA179" s="1728"/>
      <c r="HB179" s="1728"/>
      <c r="HC179" s="1728"/>
      <c r="HD179" s="1728"/>
      <c r="HE179" s="1728"/>
      <c r="HF179" s="1728"/>
      <c r="HG179" s="1728"/>
      <c r="HH179" s="1728"/>
      <c r="HI179" s="1728"/>
      <c r="HJ179" s="1728"/>
      <c r="HK179" s="1728"/>
      <c r="HL179" s="1728"/>
      <c r="HM179" s="1728"/>
      <c r="HN179" s="1728"/>
      <c r="HO179" s="1728"/>
      <c r="HP179" s="1728"/>
      <c r="HQ179" s="1728"/>
      <c r="HR179" s="1728"/>
      <c r="HS179" s="1728"/>
      <c r="HT179" s="1728"/>
      <c r="HU179" s="1728"/>
      <c r="HV179" s="1728"/>
      <c r="HW179" s="1728"/>
      <c r="HX179" s="1728"/>
      <c r="HY179" s="1728"/>
      <c r="HZ179" s="1728"/>
      <c r="IA179" s="1728"/>
      <c r="IB179" s="1728"/>
      <c r="IC179" s="1728"/>
      <c r="ID179" s="1728"/>
      <c r="IE179" s="1728"/>
      <c r="IF179" s="1728"/>
      <c r="IG179" s="1728"/>
      <c r="IH179" s="1728"/>
      <c r="II179" s="1728"/>
      <c r="IJ179" s="1728"/>
      <c r="IK179" s="1728"/>
      <c r="IL179" s="1728"/>
      <c r="IM179" s="1728"/>
      <c r="IN179" s="1728"/>
      <c r="IO179" s="1728"/>
      <c r="IP179" s="1728"/>
      <c r="IQ179" s="1728"/>
      <c r="IR179" s="1728"/>
      <c r="IS179" s="1728"/>
      <c r="IT179" s="1728"/>
      <c r="IU179" s="1728"/>
      <c r="IV179" s="1728"/>
      <c r="IW179" s="1728"/>
      <c r="IX179" s="1728"/>
      <c r="IY179" s="1728"/>
      <c r="IZ179" s="1728"/>
      <c r="JA179" s="1728"/>
      <c r="JB179" s="1728"/>
      <c r="JC179" s="1728"/>
      <c r="JD179" s="1728"/>
      <c r="JE179" s="1728"/>
      <c r="JF179" s="1728"/>
      <c r="JG179" s="1728"/>
      <c r="JH179" s="1728"/>
      <c r="JI179" s="1728"/>
      <c r="JJ179" s="1728"/>
      <c r="JK179" s="1728"/>
      <c r="JL179" s="1728"/>
      <c r="JM179" s="1728"/>
      <c r="JN179" s="1728"/>
      <c r="JO179" s="1728"/>
      <c r="JP179" s="1728"/>
      <c r="JQ179" s="1728"/>
      <c r="JR179" s="1728"/>
      <c r="JS179" s="1728"/>
      <c r="JT179" s="1728"/>
      <c r="JU179" s="1728"/>
      <c r="JV179" s="1728"/>
      <c r="JW179" s="1728"/>
      <c r="JX179" s="1728"/>
      <c r="JY179" s="1728"/>
      <c r="JZ179" s="1728"/>
      <c r="KA179" s="1728"/>
      <c r="KB179" s="1728"/>
      <c r="KC179" s="1728"/>
      <c r="KD179" s="1728"/>
      <c r="KE179" s="1728"/>
      <c r="KF179" s="1728"/>
      <c r="KG179" s="1728"/>
      <c r="KH179" s="1728"/>
      <c r="KI179" s="1728"/>
      <c r="KJ179" s="1728"/>
      <c r="KK179" s="1728"/>
      <c r="KL179" s="1728"/>
      <c r="KM179" s="1728"/>
      <c r="KN179" s="1728"/>
      <c r="KO179" s="1728"/>
      <c r="KP179" s="1728"/>
      <c r="KQ179" s="1728"/>
      <c r="KR179" s="1728"/>
      <c r="KS179" s="1728"/>
      <c r="KT179" s="1728"/>
      <c r="KU179" s="1728"/>
      <c r="KV179" s="1728"/>
      <c r="KW179" s="1728"/>
      <c r="KX179" s="1728"/>
      <c r="KY179" s="1728"/>
      <c r="KZ179" s="1728"/>
      <c r="LA179" s="1728"/>
      <c r="LB179" s="1728"/>
      <c r="LC179" s="1728"/>
      <c r="LD179" s="1728"/>
      <c r="LE179" s="1728"/>
      <c r="LF179" s="1728"/>
      <c r="LG179" s="1728"/>
      <c r="LH179" s="1728"/>
      <c r="LI179" s="1728"/>
      <c r="LJ179" s="1728"/>
      <c r="LK179" s="1728"/>
      <c r="LL179" s="1728"/>
      <c r="LM179" s="1728"/>
      <c r="LN179" s="1728"/>
      <c r="LO179" s="1728"/>
      <c r="LP179" s="1728"/>
      <c r="LQ179" s="1728"/>
      <c r="LR179" s="1728"/>
      <c r="LS179" s="1728"/>
      <c r="LT179" s="1728"/>
      <c r="LU179" s="1728"/>
      <c r="LV179" s="1728"/>
      <c r="LW179" s="1728"/>
      <c r="LX179" s="1728"/>
      <c r="LY179" s="1728"/>
      <c r="LZ179" s="1728"/>
      <c r="MA179" s="1728"/>
      <c r="MB179" s="1728"/>
      <c r="MC179" s="1728"/>
      <c r="MD179" s="1728"/>
      <c r="ME179" s="1728"/>
      <c r="MF179" s="1728"/>
      <c r="MG179" s="1728"/>
      <c r="MH179" s="1728"/>
      <c r="MI179" s="1728"/>
      <c r="MJ179" s="1728"/>
      <c r="MK179" s="1728"/>
      <c r="ML179" s="1728"/>
      <c r="MM179" s="1728"/>
      <c r="MN179" s="1728"/>
      <c r="MO179" s="1728"/>
      <c r="MP179" s="1728"/>
      <c r="MQ179" s="1728"/>
      <c r="MR179" s="1728"/>
      <c r="MS179" s="1728"/>
      <c r="MT179" s="1728"/>
      <c r="NO179" s="1728"/>
      <c r="NP179" s="1728"/>
      <c r="NQ179" s="2478">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3"/>
      <c r="JX180" s="358"/>
      <c r="JY180" s="358"/>
      <c r="JZ180" s="358"/>
      <c r="KA180" s="358"/>
      <c r="KB180" s="1803"/>
      <c r="KC180" s="358"/>
      <c r="KD180" s="358"/>
      <c r="KE180" s="358"/>
      <c r="KF180" s="358"/>
      <c r="KG180" s="1803"/>
      <c r="KH180" s="358"/>
      <c r="KI180" s="358"/>
      <c r="KJ180" s="358"/>
      <c r="KK180" s="358"/>
      <c r="KL180" s="1803"/>
      <c r="KM180" s="1803"/>
      <c r="KN180" s="1803"/>
      <c r="KO180" s="1803"/>
      <c r="KP180" s="1803"/>
      <c r="KQ180" s="1803"/>
      <c r="KR180" s="1803"/>
      <c r="KS180" s="1803"/>
      <c r="KT180" s="1803"/>
      <c r="KU180" s="1803"/>
      <c r="KV180" s="1803"/>
      <c r="KW180" s="1803"/>
      <c r="KX180" s="1803"/>
      <c r="KY180" s="1803"/>
      <c r="KZ180" s="1803"/>
      <c r="LA180" s="1803"/>
      <c r="LB180" s="1803"/>
      <c r="LC180" s="1803"/>
      <c r="LD180" s="1803"/>
      <c r="LE180" s="1803"/>
      <c r="LF180" s="1803"/>
      <c r="LG180" s="1803"/>
      <c r="LH180" s="358"/>
      <c r="LI180" s="358"/>
      <c r="LJ180" s="358"/>
      <c r="LK180" s="358"/>
      <c r="LL180" s="358"/>
      <c r="LM180" s="358"/>
      <c r="LN180" s="1656"/>
      <c r="LO180" s="358"/>
      <c r="LP180" s="358"/>
      <c r="LQ180" s="358"/>
      <c r="LR180" s="358"/>
      <c r="LS180" s="358"/>
      <c r="LT180" s="358"/>
      <c r="LU180" s="358"/>
      <c r="LV180" s="358"/>
      <c r="LW180" s="358"/>
      <c r="LX180" s="358"/>
      <c r="LY180" s="358"/>
      <c r="LZ180" s="358"/>
      <c r="MA180" s="358"/>
      <c r="MB180" s="358"/>
      <c r="MC180" s="358"/>
      <c r="MD180" s="1656"/>
      <c r="ME180" s="1656"/>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0"/>
      <c r="NQ180" s="2480">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7"/>
      <c r="LN181" s="356"/>
      <c r="LO181" s="360"/>
      <c r="MD181" s="356"/>
      <c r="MF181" s="360"/>
      <c r="NQ181" s="2480">
        <v>181</v>
      </c>
    </row>
    <row r="182" spans="1:493" ht="2.25" customHeight="1">
      <c r="Q182" s="69"/>
      <c r="R182" s="69"/>
      <c r="NQ182" s="2480">
        <v>182</v>
      </c>
    </row>
    <row r="183" spans="1:493" s="69" customFormat="1" ht="15.6" customHeight="1">
      <c r="A183" s="1"/>
      <c r="B183" s="141" t="s">
        <v>951</v>
      </c>
      <c r="C183" s="81"/>
      <c r="D183" s="81"/>
      <c r="E183" s="81"/>
      <c r="F183" s="81"/>
      <c r="G183" s="81"/>
      <c r="H183" s="3550">
        <v>9600</v>
      </c>
      <c r="I183" s="3550"/>
      <c r="J183" s="1342" t="s">
        <v>4648</v>
      </c>
      <c r="M183" s="81"/>
      <c r="N183" s="81"/>
      <c r="O183" s="81"/>
      <c r="P183" s="1383">
        <f>IF(M50=0,0,H183/M50)</f>
        <v>7.7504359620228641E-3</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3"/>
      <c r="JX183" s="358"/>
      <c r="JY183" s="358"/>
      <c r="JZ183" s="358"/>
      <c r="KA183" s="358"/>
      <c r="KB183" s="1803"/>
      <c r="KC183" s="358"/>
      <c r="KD183" s="358"/>
      <c r="KE183" s="358"/>
      <c r="KF183" s="358"/>
      <c r="KG183" s="1803"/>
      <c r="KH183" s="358"/>
      <c r="KI183" s="358"/>
      <c r="KJ183" s="358"/>
      <c r="KK183" s="358"/>
      <c r="KL183" s="1803"/>
      <c r="KM183" s="1803"/>
      <c r="KN183" s="1803"/>
      <c r="KO183" s="1803"/>
      <c r="KP183" s="1803"/>
      <c r="KQ183" s="1803"/>
      <c r="KR183" s="1803"/>
      <c r="KS183" s="1803"/>
      <c r="KT183" s="1803"/>
      <c r="KU183" s="1803"/>
      <c r="KV183" s="1803"/>
      <c r="KW183" s="1803"/>
      <c r="KX183" s="1803"/>
      <c r="KY183" s="1803"/>
      <c r="KZ183" s="1803"/>
      <c r="LA183" s="1803"/>
      <c r="LB183" s="1803"/>
      <c r="LC183" s="1803"/>
      <c r="LD183" s="1803"/>
      <c r="LE183" s="1803"/>
      <c r="LF183" s="1803"/>
      <c r="LG183" s="1803"/>
      <c r="LH183" s="358"/>
      <c r="LI183" s="358"/>
      <c r="LJ183" s="358"/>
      <c r="LK183" s="358"/>
      <c r="LL183" s="358"/>
      <c r="LM183" s="358"/>
      <c r="LN183" s="1656"/>
      <c r="LO183" s="358"/>
      <c r="LP183" s="358"/>
      <c r="LQ183" s="358"/>
      <c r="LR183" s="358"/>
      <c r="LS183" s="358"/>
      <c r="LT183" s="358"/>
      <c r="LU183" s="358"/>
      <c r="LV183" s="358"/>
      <c r="LW183" s="358"/>
      <c r="LX183" s="358"/>
      <c r="LY183" s="358"/>
      <c r="LZ183" s="358"/>
      <c r="MA183" s="358"/>
      <c r="MB183" s="358"/>
      <c r="MC183" s="358"/>
      <c r="MD183" s="1656"/>
      <c r="ME183" s="1656"/>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1"/>
      <c r="NQ183" s="2480">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1"/>
      <c r="NQ184" s="2480">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1"/>
      <c r="NQ185" s="2481">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1"/>
      <c r="NQ186" s="2480">
        <v>186</v>
      </c>
    </row>
    <row r="187" spans="1:493" ht="15.6" customHeight="1">
      <c r="B187" s="81" t="s">
        <v>952</v>
      </c>
      <c r="C187" s="81"/>
      <c r="D187" s="81"/>
      <c r="E187" s="81"/>
      <c r="F187" s="81"/>
      <c r="H187" s="692"/>
      <c r="I187" s="692"/>
      <c r="J187" s="692"/>
      <c r="K187" s="692"/>
      <c r="L187" s="692"/>
      <c r="M187" s="692"/>
      <c r="N187" s="692"/>
      <c r="O187" s="692"/>
      <c r="P187" s="692"/>
      <c r="Q187" s="692"/>
      <c r="R187" s="662"/>
      <c r="S187" s="3477"/>
      <c r="T187" s="3478"/>
      <c r="U187" s="3478"/>
      <c r="V187" s="3478"/>
      <c r="W187" s="3479"/>
      <c r="NQ187" s="2478">
        <v>187</v>
      </c>
    </row>
    <row r="188" spans="1:493" ht="15.6" customHeight="1">
      <c r="B188" s="81" t="s">
        <v>689</v>
      </c>
      <c r="C188" s="3487"/>
      <c r="D188" s="3488"/>
      <c r="E188" s="3488"/>
      <c r="F188" s="3489"/>
      <c r="H188" s="694"/>
      <c r="I188" s="694"/>
      <c r="J188" s="694"/>
      <c r="K188" s="694"/>
      <c r="L188" s="695"/>
      <c r="M188" s="694"/>
      <c r="N188" s="694"/>
      <c r="O188" s="694"/>
      <c r="P188" s="694"/>
      <c r="Q188" s="694"/>
      <c r="R188" s="662"/>
      <c r="S188" s="3453"/>
      <c r="T188" s="3454"/>
      <c r="U188" s="3454"/>
      <c r="V188" s="3454"/>
      <c r="W188" s="3455"/>
      <c r="NQ188" s="2480">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6"/>
      <c r="T189" s="3467"/>
      <c r="U189" s="3467"/>
      <c r="V189" s="3467"/>
      <c r="W189" s="3468"/>
      <c r="NP189" s="1631"/>
      <c r="NQ189" s="2480">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78">
        <v>190</v>
      </c>
    </row>
    <row r="191" spans="1:493" ht="15.6" customHeight="1">
      <c r="B191" s="81" t="s">
        <v>497</v>
      </c>
      <c r="C191" s="81"/>
      <c r="D191" s="81"/>
      <c r="E191" s="81"/>
      <c r="F191" s="81"/>
      <c r="H191" s="692"/>
      <c r="I191" s="692"/>
      <c r="J191" s="692"/>
      <c r="K191" s="692"/>
      <c r="L191" s="692"/>
      <c r="M191" s="692"/>
      <c r="N191" s="692"/>
      <c r="O191" s="692"/>
      <c r="P191" s="692"/>
      <c r="Q191" s="692"/>
      <c r="R191" s="662"/>
      <c r="S191" s="3477"/>
      <c r="T191" s="3478"/>
      <c r="U191" s="3478"/>
      <c r="V191" s="3478"/>
      <c r="W191" s="3479"/>
      <c r="NQ191" s="2480">
        <v>191</v>
      </c>
    </row>
    <row r="192" spans="1:493" ht="15.6" customHeight="1">
      <c r="B192" s="81" t="s">
        <v>689</v>
      </c>
      <c r="C192" s="3487"/>
      <c r="D192" s="3488"/>
      <c r="E192" s="3488"/>
      <c r="F192" s="3489"/>
      <c r="H192" s="694"/>
      <c r="I192" s="694"/>
      <c r="J192" s="694"/>
      <c r="K192" s="694"/>
      <c r="L192" s="695"/>
      <c r="M192" s="694"/>
      <c r="N192" s="694"/>
      <c r="O192" s="694"/>
      <c r="P192" s="694"/>
      <c r="Q192" s="694"/>
      <c r="R192" s="662"/>
      <c r="S192" s="3453"/>
      <c r="T192" s="3454"/>
      <c r="U192" s="3454"/>
      <c r="V192" s="3454"/>
      <c r="W192" s="3455"/>
      <c r="NQ192" s="2480">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6"/>
      <c r="T193" s="3467"/>
      <c r="U193" s="3467"/>
      <c r="V193" s="3467"/>
      <c r="W193" s="3468"/>
      <c r="NQ193" s="2480">
        <v>193</v>
      </c>
    </row>
    <row r="194" spans="1:493" ht="15.6" customHeight="1">
      <c r="B194" s="399"/>
      <c r="C194" s="68"/>
      <c r="D194" s="68"/>
      <c r="E194" s="68"/>
      <c r="F194" s="68"/>
      <c r="H194" s="698"/>
      <c r="I194" s="68"/>
      <c r="J194" s="68"/>
      <c r="K194" s="68"/>
      <c r="L194" s="68"/>
      <c r="M194" s="68"/>
      <c r="N194" s="68"/>
      <c r="O194" s="68"/>
      <c r="P194" s="68"/>
      <c r="Q194" s="68"/>
      <c r="R194" s="6"/>
      <c r="NQ194" s="2480">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0">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7"/>
      <c r="T196" s="3478"/>
      <c r="U196" s="3478"/>
      <c r="V196" s="3478"/>
      <c r="W196" s="347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1">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7"/>
      <c r="D197" s="3488"/>
      <c r="E197" s="3488"/>
      <c r="F197" s="3489"/>
      <c r="H197" s="694"/>
      <c r="I197" s="694"/>
      <c r="J197" s="694"/>
      <c r="K197" s="694"/>
      <c r="L197" s="695"/>
      <c r="M197" s="694"/>
      <c r="N197" s="694"/>
      <c r="O197" s="694"/>
      <c r="P197" s="694"/>
      <c r="Q197" s="694"/>
      <c r="R197" s="662"/>
      <c r="S197" s="3453"/>
      <c r="T197" s="3454"/>
      <c r="U197" s="3454"/>
      <c r="V197" s="3454"/>
      <c r="W197" s="3455"/>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0">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6"/>
      <c r="T198" s="3467"/>
      <c r="U198" s="3467"/>
      <c r="V198" s="3467"/>
      <c r="W198" s="3468"/>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78">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0">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7"/>
      <c r="T200" s="3478"/>
      <c r="U200" s="3478"/>
      <c r="V200" s="3478"/>
      <c r="W200" s="347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0">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7"/>
      <c r="D201" s="3488"/>
      <c r="E201" s="3488"/>
      <c r="F201" s="3489"/>
      <c r="H201" s="694"/>
      <c r="I201" s="694"/>
      <c r="J201" s="694"/>
      <c r="K201" s="694"/>
      <c r="L201" s="695"/>
      <c r="M201" s="694"/>
      <c r="N201" s="694"/>
      <c r="O201" s="694"/>
      <c r="P201" s="694"/>
      <c r="Q201" s="694"/>
      <c r="R201" s="662"/>
      <c r="S201" s="3453"/>
      <c r="T201" s="3454"/>
      <c r="U201" s="3454"/>
      <c r="V201" s="3454"/>
      <c r="W201" s="3455"/>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78">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6"/>
      <c r="T202" s="3467"/>
      <c r="U202" s="3467"/>
      <c r="V202" s="3467"/>
      <c r="W202" s="3468"/>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0">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0">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0">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7"/>
      <c r="T205" s="3478"/>
      <c r="U205" s="3478"/>
      <c r="V205" s="3478"/>
      <c r="W205" s="347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0">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7"/>
      <c r="D206" s="3488"/>
      <c r="E206" s="3488"/>
      <c r="F206" s="3489"/>
      <c r="H206" s="694"/>
      <c r="I206" s="694"/>
      <c r="J206" s="694"/>
      <c r="K206" s="694"/>
      <c r="L206" s="695"/>
      <c r="M206" s="694"/>
      <c r="N206" s="694"/>
      <c r="O206" s="694"/>
      <c r="P206" s="694"/>
      <c r="Q206" s="694"/>
      <c r="R206" s="662"/>
      <c r="S206" s="3453"/>
      <c r="T206" s="3454"/>
      <c r="U206" s="3454"/>
      <c r="V206" s="3454"/>
      <c r="W206" s="3455"/>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0">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6"/>
      <c r="T207" s="3467"/>
      <c r="U207" s="3467"/>
      <c r="V207" s="3467"/>
      <c r="W207" s="3468"/>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1">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0">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7"/>
      <c r="T209" s="3478"/>
      <c r="U209" s="3478"/>
      <c r="V209" s="3478"/>
      <c r="W209" s="347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78">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7"/>
      <c r="D210" s="3488"/>
      <c r="E210" s="3488"/>
      <c r="F210" s="3489"/>
      <c r="H210" s="694"/>
      <c r="I210" s="694"/>
      <c r="J210" s="694"/>
      <c r="K210" s="694"/>
      <c r="L210" s="695"/>
      <c r="M210" s="694"/>
      <c r="N210" s="694"/>
      <c r="O210" s="694"/>
      <c r="P210" s="694"/>
      <c r="Q210" s="694"/>
      <c r="R210" s="662"/>
      <c r="S210" s="3453"/>
      <c r="T210" s="3454"/>
      <c r="U210" s="3454"/>
      <c r="V210" s="3454"/>
      <c r="W210" s="3455"/>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0">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6"/>
      <c r="T211" s="3467"/>
      <c r="U211" s="3467"/>
      <c r="V211" s="3467"/>
      <c r="W211" s="3468"/>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0">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78">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0">
        <v>213</v>
      </c>
    </row>
    <row r="214" spans="1:493" ht="15.6" customHeight="1">
      <c r="B214" s="81" t="s">
        <v>952</v>
      </c>
      <c r="C214" s="81"/>
      <c r="D214" s="81"/>
      <c r="E214" s="81"/>
      <c r="F214" s="81"/>
      <c r="H214" s="692"/>
      <c r="I214" s="692"/>
      <c r="J214" s="692"/>
      <c r="K214" s="692"/>
      <c r="L214" s="693"/>
      <c r="M214" s="68"/>
      <c r="N214" s="68"/>
      <c r="O214" s="68"/>
      <c r="P214" s="68"/>
      <c r="Q214" s="68"/>
      <c r="R214" s="6"/>
      <c r="S214" s="3477"/>
      <c r="T214" s="3478"/>
      <c r="U214" s="3478"/>
      <c r="V214" s="3478"/>
      <c r="W214" s="3479"/>
      <c r="NQ214" s="2480">
        <v>214</v>
      </c>
    </row>
    <row r="215" spans="1:493" ht="15.6" customHeight="1">
      <c r="B215" s="81" t="s">
        <v>689</v>
      </c>
      <c r="C215" s="3487"/>
      <c r="D215" s="3488"/>
      <c r="E215" s="3488"/>
      <c r="F215" s="3489"/>
      <c r="H215" s="694"/>
      <c r="I215" s="694"/>
      <c r="J215" s="694"/>
      <c r="K215" s="694"/>
      <c r="L215" s="695"/>
      <c r="M215" s="68"/>
      <c r="N215" s="68"/>
      <c r="O215" s="68"/>
      <c r="P215" s="68"/>
      <c r="Q215" s="68"/>
      <c r="R215" s="6"/>
      <c r="S215" s="3453"/>
      <c r="T215" s="3454"/>
      <c r="U215" s="3454"/>
      <c r="V215" s="3454"/>
      <c r="W215" s="3455"/>
      <c r="NQ215" s="2480">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6"/>
      <c r="T216" s="3467"/>
      <c r="U216" s="3467"/>
      <c r="V216" s="3467"/>
      <c r="W216" s="3468"/>
      <c r="NQ216" s="2480">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0">
        <v>217</v>
      </c>
    </row>
    <row r="218" spans="1:493" ht="15.6" customHeight="1">
      <c r="B218" s="81" t="s">
        <v>497</v>
      </c>
      <c r="C218" s="81"/>
      <c r="D218" s="81"/>
      <c r="E218" s="81"/>
      <c r="F218" s="81"/>
      <c r="H218" s="692"/>
      <c r="I218" s="692"/>
      <c r="J218" s="692"/>
      <c r="K218" s="692"/>
      <c r="L218" s="693"/>
      <c r="M218" s="68"/>
      <c r="N218" s="68"/>
      <c r="O218" s="68"/>
      <c r="P218" s="68"/>
      <c r="Q218" s="68"/>
      <c r="R218" s="6"/>
      <c r="S218" s="3477"/>
      <c r="T218" s="3478"/>
      <c r="U218" s="3478"/>
      <c r="V218" s="3478"/>
      <c r="W218" s="3479"/>
      <c r="NQ218" s="2481">
        <v>218</v>
      </c>
    </row>
    <row r="219" spans="1:493" ht="15.6" customHeight="1">
      <c r="B219" s="81" t="s">
        <v>689</v>
      </c>
      <c r="C219" s="3487"/>
      <c r="D219" s="3488"/>
      <c r="E219" s="3488"/>
      <c r="F219" s="3489"/>
      <c r="H219" s="694"/>
      <c r="I219" s="694"/>
      <c r="J219" s="694"/>
      <c r="K219" s="694"/>
      <c r="L219" s="695"/>
      <c r="M219" s="68"/>
      <c r="N219" s="68"/>
      <c r="O219" s="68"/>
      <c r="P219" s="68"/>
      <c r="Q219" s="68"/>
      <c r="R219" s="6"/>
      <c r="S219" s="3453"/>
      <c r="T219" s="3454"/>
      <c r="U219" s="3454"/>
      <c r="V219" s="3454"/>
      <c r="W219" s="3455"/>
      <c r="NQ219" s="2480">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6"/>
      <c r="T220" s="3467"/>
      <c r="U220" s="3467"/>
      <c r="V220" s="3467"/>
      <c r="W220" s="3468"/>
      <c r="NQ220" s="2478">
        <v>220</v>
      </c>
    </row>
    <row r="221" spans="1:493" ht="2.25" customHeight="1">
      <c r="B221" s="10"/>
      <c r="F221" s="27"/>
      <c r="G221" s="27"/>
      <c r="Q221" s="6"/>
      <c r="R221" s="6"/>
      <c r="NQ221" s="2480">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3"/>
      <c r="JX222" s="358"/>
      <c r="JY222" s="358"/>
      <c r="JZ222" s="358"/>
      <c r="KA222" s="358"/>
      <c r="KB222" s="1803"/>
      <c r="KC222" s="358"/>
      <c r="KD222" s="358"/>
      <c r="KE222" s="358"/>
      <c r="KF222" s="358"/>
      <c r="KG222" s="1803"/>
      <c r="KH222" s="358"/>
      <c r="KI222" s="358"/>
      <c r="KJ222" s="358"/>
      <c r="KK222" s="358"/>
      <c r="KL222" s="1803"/>
      <c r="KM222" s="1803"/>
      <c r="KN222" s="1803"/>
      <c r="KO222" s="1803"/>
      <c r="KP222" s="1803"/>
      <c r="KQ222" s="1803"/>
      <c r="KR222" s="1803"/>
      <c r="KS222" s="1803"/>
      <c r="KT222" s="1803"/>
      <c r="KU222" s="1803"/>
      <c r="KV222" s="1803"/>
      <c r="KW222" s="1803"/>
      <c r="KX222" s="1803"/>
      <c r="KY222" s="1803"/>
      <c r="KZ222" s="1803"/>
      <c r="LA222" s="1803"/>
      <c r="LB222" s="1803"/>
      <c r="LC222" s="1803"/>
      <c r="LD222" s="1803"/>
      <c r="LE222" s="1803"/>
      <c r="LF222" s="1803"/>
      <c r="LG222" s="1803"/>
      <c r="LH222" s="358"/>
      <c r="LI222" s="358"/>
      <c r="LJ222" s="358"/>
      <c r="LK222" s="358"/>
      <c r="LL222" s="358"/>
      <c r="LM222" s="358"/>
      <c r="LN222" s="1656"/>
      <c r="LO222" s="358"/>
      <c r="LP222" s="358"/>
      <c r="LQ222" s="358"/>
      <c r="LR222" s="358"/>
      <c r="LS222" s="358"/>
      <c r="LT222" s="358"/>
      <c r="LU222" s="358"/>
      <c r="LV222" s="358"/>
      <c r="LW222" s="358"/>
      <c r="LX222" s="358"/>
      <c r="LY222" s="358"/>
      <c r="LZ222" s="358"/>
      <c r="MA222" s="358"/>
      <c r="MB222" s="358"/>
      <c r="MC222" s="358"/>
      <c r="MD222" s="1656"/>
      <c r="ME222" s="1656"/>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0"/>
      <c r="NQ222" s="2480">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3"/>
      <c r="JX223" s="358"/>
      <c r="JY223" s="358"/>
      <c r="JZ223" s="358"/>
      <c r="KA223" s="358"/>
      <c r="KB223" s="1803"/>
      <c r="KC223" s="358"/>
      <c r="KD223" s="358"/>
      <c r="KE223" s="358"/>
      <c r="KF223" s="358"/>
      <c r="KG223" s="1803"/>
      <c r="KH223" s="358"/>
      <c r="KI223" s="358"/>
      <c r="KJ223" s="358"/>
      <c r="KK223" s="358"/>
      <c r="KL223" s="1803"/>
      <c r="KM223" s="1803"/>
      <c r="KN223" s="1803"/>
      <c r="KO223" s="1803"/>
      <c r="KP223" s="1803"/>
      <c r="KQ223" s="1803"/>
      <c r="KR223" s="1803"/>
      <c r="KS223" s="1803"/>
      <c r="KT223" s="1803"/>
      <c r="KU223" s="1803"/>
      <c r="KV223" s="1803"/>
      <c r="KW223" s="1803"/>
      <c r="KX223" s="1803"/>
      <c r="KY223" s="1803"/>
      <c r="KZ223" s="1803"/>
      <c r="LA223" s="1803"/>
      <c r="LB223" s="1803"/>
      <c r="LC223" s="1803"/>
      <c r="LD223" s="1803"/>
      <c r="LE223" s="1803"/>
      <c r="LF223" s="1803"/>
      <c r="LG223" s="1803"/>
      <c r="LH223" s="358"/>
      <c r="LI223" s="358"/>
      <c r="LJ223" s="358"/>
      <c r="LK223" s="358"/>
      <c r="LL223" s="358"/>
      <c r="LM223" s="358"/>
      <c r="LN223" s="1656"/>
      <c r="LO223" s="358"/>
      <c r="LP223" s="358"/>
      <c r="LQ223" s="358"/>
      <c r="LR223" s="358"/>
      <c r="LS223" s="358"/>
      <c r="LT223" s="358"/>
      <c r="LU223" s="358"/>
      <c r="LV223" s="358"/>
      <c r="LW223" s="358"/>
      <c r="LX223" s="358"/>
      <c r="LY223" s="358"/>
      <c r="LZ223" s="358"/>
      <c r="MA223" s="358"/>
      <c r="MB223" s="358"/>
      <c r="MC223" s="358"/>
      <c r="MD223" s="1656"/>
      <c r="ME223" s="1656"/>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0"/>
      <c r="NQ223" s="2478">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46435</v>
      </c>
      <c r="R224" s="1"/>
      <c r="S224" s="3477"/>
      <c r="T224" s="3478"/>
      <c r="U224" s="3478"/>
      <c r="V224" s="3478"/>
      <c r="W224" s="347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3"/>
      <c r="JX224" s="358"/>
      <c r="JY224" s="358"/>
      <c r="JZ224" s="358"/>
      <c r="KA224" s="358"/>
      <c r="KB224" s="1803"/>
      <c r="KC224" s="358"/>
      <c r="KD224" s="358"/>
      <c r="KE224" s="358"/>
      <c r="KF224" s="358"/>
      <c r="KG224" s="1803"/>
      <c r="KH224" s="358"/>
      <c r="KI224" s="358"/>
      <c r="KJ224" s="358"/>
      <c r="KK224" s="358"/>
      <c r="KL224" s="1803"/>
      <c r="KM224" s="1803"/>
      <c r="KN224" s="1803"/>
      <c r="KO224" s="1803"/>
      <c r="KP224" s="1803"/>
      <c r="KQ224" s="1803"/>
      <c r="KR224" s="1803"/>
      <c r="KS224" s="1803"/>
      <c r="KT224" s="1803"/>
      <c r="KU224" s="1803"/>
      <c r="KV224" s="1803"/>
      <c r="KW224" s="1803"/>
      <c r="KX224" s="1803"/>
      <c r="KY224" s="1803"/>
      <c r="KZ224" s="1803"/>
      <c r="LA224" s="1803"/>
      <c r="LB224" s="1803"/>
      <c r="LC224" s="1803"/>
      <c r="LD224" s="1803"/>
      <c r="LE224" s="1803"/>
      <c r="LF224" s="1803"/>
      <c r="LG224" s="1803"/>
      <c r="LH224" s="358"/>
      <c r="LI224" s="358"/>
      <c r="LJ224" s="358"/>
      <c r="LK224" s="358"/>
      <c r="LL224" s="358"/>
      <c r="LM224" s="358"/>
      <c r="LN224" s="1656"/>
      <c r="LO224" s="358"/>
      <c r="LP224" s="358"/>
      <c r="LQ224" s="358"/>
      <c r="LR224" s="358"/>
      <c r="LS224" s="358"/>
      <c r="LT224" s="358"/>
      <c r="LU224" s="358"/>
      <c r="LV224" s="358"/>
      <c r="LW224" s="358"/>
      <c r="LX224" s="358"/>
      <c r="LY224" s="358"/>
      <c r="LZ224" s="358"/>
      <c r="MA224" s="358"/>
      <c r="MB224" s="358"/>
      <c r="MC224" s="358"/>
      <c r="MD224" s="1656"/>
      <c r="ME224" s="1656"/>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0"/>
      <c r="NQ224" s="2480">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90">
        <v>72800</v>
      </c>
      <c r="G225" s="3491"/>
      <c r="H225" s="1"/>
      <c r="I225" s="1" t="s">
        <v>1298</v>
      </c>
      <c r="K225" s="1"/>
      <c r="L225" s="3490"/>
      <c r="M225" s="3491"/>
      <c r="N225" s="1"/>
      <c r="O225" s="318">
        <f>+Q224/(P67*0.93)</f>
        <v>624.1263440860215</v>
      </c>
      <c r="P225" s="42" t="s">
        <v>2477</v>
      </c>
      <c r="Q225" s="1"/>
      <c r="R225" s="662"/>
      <c r="S225" s="3453"/>
      <c r="T225" s="3454"/>
      <c r="U225" s="3454"/>
      <c r="V225" s="3454"/>
      <c r="W225" s="3455"/>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3"/>
      <c r="JX225" s="358"/>
      <c r="JY225" s="358"/>
      <c r="JZ225" s="358"/>
      <c r="KA225" s="358"/>
      <c r="KB225" s="1803"/>
      <c r="KC225" s="358"/>
      <c r="KD225" s="358"/>
      <c r="KE225" s="358"/>
      <c r="KF225" s="358"/>
      <c r="KG225" s="1803"/>
      <c r="KH225" s="358"/>
      <c r="KI225" s="358"/>
      <c r="KJ225" s="358"/>
      <c r="KK225" s="358"/>
      <c r="KL225" s="1803"/>
      <c r="KM225" s="1803"/>
      <c r="KN225" s="1803"/>
      <c r="KO225" s="1803"/>
      <c r="KP225" s="1803"/>
      <c r="KQ225" s="1803"/>
      <c r="KR225" s="1803"/>
      <c r="KS225" s="1803"/>
      <c r="KT225" s="1803"/>
      <c r="KU225" s="1803"/>
      <c r="KV225" s="1803"/>
      <c r="KW225" s="1803"/>
      <c r="KX225" s="1803"/>
      <c r="KY225" s="1803"/>
      <c r="KZ225" s="1803"/>
      <c r="LA225" s="1803"/>
      <c r="LB225" s="1803"/>
      <c r="LC225" s="1803"/>
      <c r="LD225" s="1803"/>
      <c r="LE225" s="1803"/>
      <c r="LF225" s="1803"/>
      <c r="LG225" s="1803"/>
      <c r="LH225" s="358"/>
      <c r="LI225" s="358"/>
      <c r="LJ225" s="358"/>
      <c r="LK225" s="358"/>
      <c r="LL225" s="358"/>
      <c r="LM225" s="358"/>
      <c r="LN225" s="1656"/>
      <c r="LO225" s="358"/>
      <c r="LP225" s="358"/>
      <c r="LQ225" s="358"/>
      <c r="LR225" s="358"/>
      <c r="LS225" s="358"/>
      <c r="LT225" s="358"/>
      <c r="LU225" s="358"/>
      <c r="LV225" s="358"/>
      <c r="LW225" s="358"/>
      <c r="LX225" s="358"/>
      <c r="LY225" s="358"/>
      <c r="LZ225" s="358"/>
      <c r="MA225" s="358"/>
      <c r="MB225" s="358"/>
      <c r="MC225" s="358"/>
      <c r="MD225" s="1656"/>
      <c r="ME225" s="1656"/>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0"/>
      <c r="NQ225" s="2480">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5">
        <v>52000</v>
      </c>
      <c r="G226" s="3496"/>
      <c r="H226" s="1"/>
      <c r="I226" s="1" t="s">
        <v>1299</v>
      </c>
      <c r="K226" s="1"/>
      <c r="L226" s="3497">
        <v>6000</v>
      </c>
      <c r="M226" s="3498"/>
      <c r="N226" s="1"/>
      <c r="O226" s="318">
        <f>+Q224/(P67*0.93)/12</f>
        <v>52.010528673835125</v>
      </c>
      <c r="P226" s="42" t="s">
        <v>2478</v>
      </c>
      <c r="Q226" s="1"/>
      <c r="R226" s="662"/>
      <c r="S226" s="3453"/>
      <c r="T226" s="3454"/>
      <c r="U226" s="3454"/>
      <c r="V226" s="3454"/>
      <c r="W226" s="3455"/>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3"/>
      <c r="JX226" s="358"/>
      <c r="JY226" s="358"/>
      <c r="JZ226" s="358"/>
      <c r="KA226" s="358"/>
      <c r="KB226" s="1803"/>
      <c r="KC226" s="358"/>
      <c r="KD226" s="358"/>
      <c r="KE226" s="358"/>
      <c r="KF226" s="358"/>
      <c r="KG226" s="1803"/>
      <c r="KH226" s="358"/>
      <c r="KI226" s="358"/>
      <c r="KJ226" s="358"/>
      <c r="KK226" s="358"/>
      <c r="KL226" s="1803"/>
      <c r="KM226" s="1803"/>
      <c r="KN226" s="1803"/>
      <c r="KO226" s="1803"/>
      <c r="KP226" s="1803"/>
      <c r="KQ226" s="1803"/>
      <c r="KR226" s="1803"/>
      <c r="KS226" s="1803"/>
      <c r="KT226" s="1803"/>
      <c r="KU226" s="1803"/>
      <c r="KV226" s="1803"/>
      <c r="KW226" s="1803"/>
      <c r="KX226" s="1803"/>
      <c r="KY226" s="1803"/>
      <c r="KZ226" s="1803"/>
      <c r="LA226" s="1803"/>
      <c r="LB226" s="1803"/>
      <c r="LC226" s="1803"/>
      <c r="LD226" s="1803"/>
      <c r="LE226" s="1803"/>
      <c r="LF226" s="1803"/>
      <c r="LG226" s="1803"/>
      <c r="LH226" s="358"/>
      <c r="LI226" s="358"/>
      <c r="LJ226" s="358"/>
      <c r="LK226" s="358"/>
      <c r="LL226" s="358"/>
      <c r="LM226" s="358"/>
      <c r="LN226" s="1656"/>
      <c r="LO226" s="358"/>
      <c r="LP226" s="358"/>
      <c r="LQ226" s="358"/>
      <c r="LR226" s="358"/>
      <c r="LS226" s="358"/>
      <c r="LT226" s="358"/>
      <c r="LU226" s="358"/>
      <c r="LV226" s="358"/>
      <c r="LW226" s="358"/>
      <c r="LX226" s="358"/>
      <c r="LY226" s="358"/>
      <c r="LZ226" s="358"/>
      <c r="MA226" s="358"/>
      <c r="MB226" s="358"/>
      <c r="MC226" s="358"/>
      <c r="MD226" s="1656"/>
      <c r="ME226" s="1656"/>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0"/>
      <c r="NQ226" s="2480">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5"/>
      <c r="G227" s="3496"/>
      <c r="H227" s="1"/>
      <c r="I227" s="1"/>
      <c r="K227" s="8" t="s">
        <v>184</v>
      </c>
      <c r="L227" s="3499">
        <f>SUM(L225:M226)</f>
        <v>6000</v>
      </c>
      <c r="M227" s="3500"/>
      <c r="N227" s="1"/>
      <c r="O227" s="29" t="s">
        <v>3138</v>
      </c>
      <c r="P227" s="103"/>
      <c r="Q227" s="103"/>
      <c r="R227" s="662"/>
      <c r="S227" s="3453"/>
      <c r="T227" s="3454"/>
      <c r="U227" s="3454"/>
      <c r="V227" s="3454"/>
      <c r="W227" s="3455"/>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3"/>
      <c r="JX227" s="358"/>
      <c r="JY227" s="358"/>
      <c r="JZ227" s="358"/>
      <c r="KA227" s="358"/>
      <c r="KB227" s="1803"/>
      <c r="KC227" s="358"/>
      <c r="KD227" s="358"/>
      <c r="KE227" s="358"/>
      <c r="KF227" s="358"/>
      <c r="KG227" s="1803"/>
      <c r="KH227" s="358"/>
      <c r="KI227" s="358"/>
      <c r="KJ227" s="358"/>
      <c r="KK227" s="358"/>
      <c r="KL227" s="1803"/>
      <c r="KM227" s="1803"/>
      <c r="KN227" s="1803"/>
      <c r="KO227" s="1803"/>
      <c r="KP227" s="1803"/>
      <c r="KQ227" s="1803"/>
      <c r="KR227" s="1803"/>
      <c r="KS227" s="1803"/>
      <c r="KT227" s="1803"/>
      <c r="KU227" s="1803"/>
      <c r="KV227" s="1803"/>
      <c r="KW227" s="1803"/>
      <c r="KX227" s="1803"/>
      <c r="KY227" s="1803"/>
      <c r="KZ227" s="1803"/>
      <c r="LA227" s="1803"/>
      <c r="LB227" s="1803"/>
      <c r="LC227" s="1803"/>
      <c r="LD227" s="1803"/>
      <c r="LE227" s="1803"/>
      <c r="LF227" s="1803"/>
      <c r="LG227" s="1803"/>
      <c r="LH227" s="358"/>
      <c r="LI227" s="358"/>
      <c r="LJ227" s="358"/>
      <c r="LK227" s="358"/>
      <c r="LL227" s="358"/>
      <c r="LM227" s="358"/>
      <c r="LN227" s="1656"/>
      <c r="LO227" s="358"/>
      <c r="LP227" s="358"/>
      <c r="LQ227" s="358"/>
      <c r="LR227" s="358"/>
      <c r="LS227" s="358"/>
      <c r="LT227" s="358"/>
      <c r="LU227" s="358"/>
      <c r="LV227" s="358"/>
      <c r="LW227" s="358"/>
      <c r="LX227" s="358"/>
      <c r="LY227" s="358"/>
      <c r="LZ227" s="358"/>
      <c r="MA227" s="358"/>
      <c r="MB227" s="358"/>
      <c r="MC227" s="358"/>
      <c r="MD227" s="1656"/>
      <c r="ME227" s="1656"/>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0"/>
      <c r="NQ227" s="2480">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4528</v>
      </c>
      <c r="F228" s="3495"/>
      <c r="G228" s="3496"/>
      <c r="H228" s="1"/>
      <c r="I228" s="1"/>
      <c r="K228" s="1"/>
      <c r="L228" s="1"/>
      <c r="M228" s="1"/>
      <c r="N228" s="1"/>
      <c r="R228" s="659"/>
      <c r="S228" s="3453"/>
      <c r="T228" s="3454"/>
      <c r="U228" s="3454"/>
      <c r="V228" s="3454"/>
      <c r="W228" s="3455"/>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3"/>
      <c r="JX228" s="358"/>
      <c r="JY228" s="358"/>
      <c r="JZ228" s="358"/>
      <c r="KA228" s="358"/>
      <c r="KB228" s="1803"/>
      <c r="KC228" s="358"/>
      <c r="KD228" s="358"/>
      <c r="KE228" s="358"/>
      <c r="KF228" s="358"/>
      <c r="KG228" s="1803"/>
      <c r="KH228" s="358"/>
      <c r="KI228" s="358"/>
      <c r="KJ228" s="358"/>
      <c r="KK228" s="358"/>
      <c r="KL228" s="1803"/>
      <c r="KM228" s="1803"/>
      <c r="KN228" s="1803"/>
      <c r="KO228" s="1803"/>
      <c r="KP228" s="1803"/>
      <c r="KQ228" s="1803"/>
      <c r="KR228" s="1803"/>
      <c r="KS228" s="1803"/>
      <c r="KT228" s="1803"/>
      <c r="KU228" s="1803"/>
      <c r="KV228" s="1803"/>
      <c r="KW228" s="1803"/>
      <c r="KX228" s="1803"/>
      <c r="KY228" s="1803"/>
      <c r="KZ228" s="1803"/>
      <c r="LA228" s="1803"/>
      <c r="LB228" s="1803"/>
      <c r="LC228" s="1803"/>
      <c r="LD228" s="1803"/>
      <c r="LE228" s="1803"/>
      <c r="LF228" s="1803"/>
      <c r="LG228" s="1803"/>
      <c r="LH228" s="358"/>
      <c r="LI228" s="358"/>
      <c r="LJ228" s="358"/>
      <c r="LK228" s="358"/>
      <c r="LL228" s="358"/>
      <c r="LM228" s="358"/>
      <c r="LN228" s="1656"/>
      <c r="LO228" s="358"/>
      <c r="LP228" s="358"/>
      <c r="LQ228" s="358"/>
      <c r="LR228" s="358"/>
      <c r="LS228" s="358"/>
      <c r="LT228" s="358"/>
      <c r="LU228" s="358"/>
      <c r="LV228" s="358"/>
      <c r="LW228" s="358"/>
      <c r="LX228" s="358"/>
      <c r="LY228" s="358"/>
      <c r="LZ228" s="358"/>
      <c r="MA228" s="358"/>
      <c r="MB228" s="358"/>
      <c r="MC228" s="358"/>
      <c r="MD228" s="1656"/>
      <c r="ME228" s="1656"/>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1"/>
      <c r="NQ228" s="2480">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3892</v>
      </c>
      <c r="F229" s="3495"/>
      <c r="G229" s="3496"/>
      <c r="H229" s="1"/>
      <c r="I229" s="1"/>
      <c r="K229" s="1"/>
      <c r="L229" s="1"/>
      <c r="M229" s="1"/>
      <c r="N229" s="1"/>
      <c r="R229" s="659"/>
      <c r="S229" s="3453"/>
      <c r="T229" s="3454"/>
      <c r="U229" s="3454"/>
      <c r="V229" s="3454"/>
      <c r="W229" s="3455"/>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3"/>
      <c r="JX229" s="358"/>
      <c r="JY229" s="358"/>
      <c r="JZ229" s="358"/>
      <c r="KA229" s="358"/>
      <c r="KB229" s="1803"/>
      <c r="KC229" s="358"/>
      <c r="KD229" s="358"/>
      <c r="KE229" s="358"/>
      <c r="KF229" s="358"/>
      <c r="KG229" s="1803"/>
      <c r="KH229" s="358"/>
      <c r="KI229" s="358"/>
      <c r="KJ229" s="358"/>
      <c r="KK229" s="358"/>
      <c r="KL229" s="1803"/>
      <c r="KM229" s="1803"/>
      <c r="KN229" s="1803"/>
      <c r="KO229" s="1803"/>
      <c r="KP229" s="1803"/>
      <c r="KQ229" s="1803"/>
      <c r="KR229" s="1803"/>
      <c r="KS229" s="1803"/>
      <c r="KT229" s="1803"/>
      <c r="KU229" s="1803"/>
      <c r="KV229" s="1803"/>
      <c r="KW229" s="1803"/>
      <c r="KX229" s="1803"/>
      <c r="KY229" s="1803"/>
      <c r="KZ229" s="1803"/>
      <c r="LA229" s="1803"/>
      <c r="LB229" s="1803"/>
      <c r="LC229" s="1803"/>
      <c r="LD229" s="1803"/>
      <c r="LE229" s="1803"/>
      <c r="LF229" s="1803"/>
      <c r="LG229" s="1803"/>
      <c r="LH229" s="358"/>
      <c r="LI229" s="358"/>
      <c r="LJ229" s="358"/>
      <c r="LK229" s="358"/>
      <c r="LL229" s="358"/>
      <c r="LM229" s="358"/>
      <c r="LN229" s="1656"/>
      <c r="LO229" s="358"/>
      <c r="LP229" s="358"/>
      <c r="LQ229" s="358"/>
      <c r="LR229" s="358"/>
      <c r="LS229" s="358"/>
      <c r="LT229" s="358"/>
      <c r="LU229" s="358"/>
      <c r="LV229" s="358"/>
      <c r="LW229" s="358"/>
      <c r="LX229" s="358"/>
      <c r="LY229" s="358"/>
      <c r="LZ229" s="358"/>
      <c r="MA229" s="358"/>
      <c r="MB229" s="358"/>
      <c r="MC229" s="358"/>
      <c r="MD229" s="1656"/>
      <c r="ME229" s="1656"/>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1"/>
      <c r="NQ229" s="2481">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2" t="s">
        <v>5154</v>
      </c>
      <c r="C230" s="3493"/>
      <c r="D230" s="3493"/>
      <c r="E230" s="3494"/>
      <c r="F230" s="3497">
        <v>31200</v>
      </c>
      <c r="G230" s="3498"/>
      <c r="H230" s="1"/>
      <c r="I230" s="4" t="s">
        <v>1213</v>
      </c>
      <c r="K230" s="1"/>
      <c r="L230" s="1"/>
      <c r="M230" s="1"/>
      <c r="N230" s="1"/>
      <c r="R230" s="659"/>
      <c r="S230" s="3453"/>
      <c r="T230" s="3454"/>
      <c r="U230" s="3454"/>
      <c r="V230" s="3454"/>
      <c r="W230" s="3455"/>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3"/>
      <c r="JX230" s="358"/>
      <c r="JY230" s="358"/>
      <c r="JZ230" s="358"/>
      <c r="KA230" s="358"/>
      <c r="KB230" s="1803"/>
      <c r="KC230" s="358"/>
      <c r="KD230" s="358"/>
      <c r="KE230" s="358"/>
      <c r="KF230" s="358"/>
      <c r="KG230" s="1803"/>
      <c r="KH230" s="358"/>
      <c r="KI230" s="358"/>
      <c r="KJ230" s="358"/>
      <c r="KK230" s="358"/>
      <c r="KL230" s="1803"/>
      <c r="KM230" s="1803"/>
      <c r="KN230" s="1803"/>
      <c r="KO230" s="1803"/>
      <c r="KP230" s="1803"/>
      <c r="KQ230" s="1803"/>
      <c r="KR230" s="1803"/>
      <c r="KS230" s="1803"/>
      <c r="KT230" s="1803"/>
      <c r="KU230" s="1803"/>
      <c r="KV230" s="1803"/>
      <c r="KW230" s="1803"/>
      <c r="KX230" s="1803"/>
      <c r="KY230" s="1803"/>
      <c r="KZ230" s="1803"/>
      <c r="LA230" s="1803"/>
      <c r="LB230" s="1803"/>
      <c r="LC230" s="1803"/>
      <c r="LD230" s="1803"/>
      <c r="LE230" s="1803"/>
      <c r="LF230" s="1803"/>
      <c r="LG230" s="1803"/>
      <c r="LH230" s="358"/>
      <c r="LI230" s="358"/>
      <c r="LJ230" s="358"/>
      <c r="LK230" s="358"/>
      <c r="LL230" s="358"/>
      <c r="LM230" s="358"/>
      <c r="LN230" s="1656"/>
      <c r="LO230" s="358"/>
      <c r="LP230" s="358"/>
      <c r="LQ230" s="358"/>
      <c r="LR230" s="358"/>
      <c r="LS230" s="358"/>
      <c r="LT230" s="358"/>
      <c r="LU230" s="358"/>
      <c r="LV230" s="358"/>
      <c r="LW230" s="358"/>
      <c r="LX230" s="358"/>
      <c r="LY230" s="358"/>
      <c r="LZ230" s="358"/>
      <c r="MA230" s="358"/>
      <c r="MB230" s="358"/>
      <c r="MC230" s="358"/>
      <c r="MD230" s="1656"/>
      <c r="ME230" s="1656"/>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1"/>
      <c r="NQ230" s="2480">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9">
        <f>SUM(F225:G230)</f>
        <v>156000</v>
      </c>
      <c r="G231" s="3500"/>
      <c r="H231" s="1"/>
      <c r="I231" s="1" t="s">
        <v>1495</v>
      </c>
      <c r="K231" s="1"/>
      <c r="L231" s="3503">
        <v>4000</v>
      </c>
      <c r="M231" s="3504"/>
      <c r="N231" s="1"/>
      <c r="R231" s="1"/>
      <c r="S231" s="3453"/>
      <c r="T231" s="3454"/>
      <c r="U231" s="3454"/>
      <c r="V231" s="3454"/>
      <c r="W231" s="3455"/>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3"/>
      <c r="JX231" s="358"/>
      <c r="JY231" s="358"/>
      <c r="JZ231" s="358"/>
      <c r="KA231" s="358"/>
      <c r="KB231" s="1803"/>
      <c r="KC231" s="358"/>
      <c r="KD231" s="358"/>
      <c r="KE231" s="358"/>
      <c r="KF231" s="358"/>
      <c r="KG231" s="1803"/>
      <c r="KH231" s="358"/>
      <c r="KI231" s="358"/>
      <c r="KJ231" s="358"/>
      <c r="KK231" s="358"/>
      <c r="KL231" s="1803"/>
      <c r="KM231" s="1803"/>
      <c r="KN231" s="1803"/>
      <c r="KO231" s="1803"/>
      <c r="KP231" s="1803"/>
      <c r="KQ231" s="1803"/>
      <c r="KR231" s="1803"/>
      <c r="KS231" s="1803"/>
      <c r="KT231" s="1803"/>
      <c r="KU231" s="1803"/>
      <c r="KV231" s="1803"/>
      <c r="KW231" s="1803"/>
      <c r="KX231" s="1803"/>
      <c r="KY231" s="1803"/>
      <c r="KZ231" s="1803"/>
      <c r="LA231" s="1803"/>
      <c r="LB231" s="1803"/>
      <c r="LC231" s="1803"/>
      <c r="LD231" s="1803"/>
      <c r="LE231" s="1803"/>
      <c r="LF231" s="1803"/>
      <c r="LG231" s="1803"/>
      <c r="LH231" s="358"/>
      <c r="LI231" s="358"/>
      <c r="LJ231" s="358"/>
      <c r="LK231" s="358"/>
      <c r="LL231" s="358"/>
      <c r="LM231" s="358"/>
      <c r="LN231" s="1656"/>
      <c r="LO231" s="358"/>
      <c r="LP231" s="358"/>
      <c r="LQ231" s="358"/>
      <c r="LR231" s="358"/>
      <c r="LS231" s="358"/>
      <c r="LT231" s="358"/>
      <c r="LU231" s="358"/>
      <c r="LV231" s="358"/>
      <c r="LW231" s="358"/>
      <c r="LX231" s="358"/>
      <c r="LY231" s="358"/>
      <c r="LZ231" s="358"/>
      <c r="MA231" s="358"/>
      <c r="MB231" s="358"/>
      <c r="MC231" s="358"/>
      <c r="MD231" s="1656"/>
      <c r="ME231" s="1656"/>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1"/>
      <c r="NQ231" s="2478">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1">
        <v>12500</v>
      </c>
      <c r="M232" s="3502"/>
      <c r="N232" s="3507" t="str">
        <f>IF(Q234="","",IF(Q232&lt;Q234, "WARNING! OE may be below required minimum.",""))</f>
        <v/>
      </c>
      <c r="O232" s="4" t="s">
        <v>2024</v>
      </c>
      <c r="P232" s="1"/>
      <c r="Q232" s="325">
        <f>F231+F240+F251+L227+L235+L245+L251+Q224</f>
        <v>589835</v>
      </c>
      <c r="R232" s="1"/>
      <c r="S232" s="3453"/>
      <c r="T232" s="3454"/>
      <c r="U232" s="3454"/>
      <c r="V232" s="3454"/>
      <c r="W232" s="3455"/>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3"/>
      <c r="JX232" s="358"/>
      <c r="JY232" s="358"/>
      <c r="JZ232" s="358"/>
      <c r="KA232" s="358"/>
      <c r="KB232" s="1803"/>
      <c r="KC232" s="358"/>
      <c r="KD232" s="358"/>
      <c r="KE232" s="358"/>
      <c r="KF232" s="358"/>
      <c r="KG232" s="1803"/>
      <c r="KH232" s="358"/>
      <c r="KI232" s="358"/>
      <c r="KJ232" s="358"/>
      <c r="KK232" s="358"/>
      <c r="KL232" s="1803"/>
      <c r="KM232" s="1803"/>
      <c r="KN232" s="1803"/>
      <c r="KO232" s="1803"/>
      <c r="KP232" s="1803"/>
      <c r="KQ232" s="1803"/>
      <c r="KR232" s="1803"/>
      <c r="KS232" s="1803"/>
      <c r="KT232" s="1803"/>
      <c r="KU232" s="1803"/>
      <c r="KV232" s="1803"/>
      <c r="KW232" s="1803"/>
      <c r="KX232" s="1803"/>
      <c r="KY232" s="1803"/>
      <c r="KZ232" s="1803"/>
      <c r="LA232" s="1803"/>
      <c r="LB232" s="1803"/>
      <c r="LC232" s="1803"/>
      <c r="LD232" s="1803"/>
      <c r="LE232" s="1803"/>
      <c r="LF232" s="1803"/>
      <c r="LG232" s="1803"/>
      <c r="LH232" s="358"/>
      <c r="LI232" s="358"/>
      <c r="LJ232" s="358"/>
      <c r="LK232" s="358"/>
      <c r="LL232" s="358"/>
      <c r="LM232" s="358"/>
      <c r="LN232" s="1656"/>
      <c r="LO232" s="358"/>
      <c r="LP232" s="358"/>
      <c r="LQ232" s="358"/>
      <c r="LR232" s="358"/>
      <c r="LS232" s="358"/>
      <c r="LT232" s="358"/>
      <c r="LU232" s="358"/>
      <c r="LV232" s="358"/>
      <c r="LW232" s="358"/>
      <c r="LX232" s="358"/>
      <c r="LY232" s="358"/>
      <c r="LZ232" s="358"/>
      <c r="MA232" s="358"/>
      <c r="MB232" s="358"/>
      <c r="MC232" s="358"/>
      <c r="MD232" s="1656"/>
      <c r="ME232" s="1656"/>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1"/>
      <c r="NQ232" s="2480">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1">
        <v>4000</v>
      </c>
      <c r="M233" s="3502"/>
      <c r="N233" s="3507"/>
      <c r="O233" s="42" t="s">
        <v>2479</v>
      </c>
      <c r="P233" s="318">
        <f>+Q232/P67</f>
        <v>7372.9375</v>
      </c>
      <c r="R233" s="660"/>
      <c r="S233" s="3453"/>
      <c r="T233" s="3454"/>
      <c r="U233" s="3454"/>
      <c r="V233" s="3454"/>
      <c r="W233" s="3455"/>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3"/>
      <c r="JX233" s="358"/>
      <c r="JY233" s="358"/>
      <c r="JZ233" s="358"/>
      <c r="KA233" s="358"/>
      <c r="KB233" s="1803"/>
      <c r="KC233" s="358"/>
      <c r="KD233" s="358"/>
      <c r="KE233" s="358"/>
      <c r="KF233" s="358"/>
      <c r="KG233" s="1803"/>
      <c r="KH233" s="358"/>
      <c r="KI233" s="358"/>
      <c r="KJ233" s="358"/>
      <c r="KK233" s="358"/>
      <c r="KL233" s="1803"/>
      <c r="KM233" s="1803"/>
      <c r="KN233" s="1803"/>
      <c r="KO233" s="1803"/>
      <c r="KP233" s="1803"/>
      <c r="KQ233" s="1803"/>
      <c r="KR233" s="1803"/>
      <c r="KS233" s="1803"/>
      <c r="KT233" s="1803"/>
      <c r="KU233" s="1803"/>
      <c r="KV233" s="1803"/>
      <c r="KW233" s="1803"/>
      <c r="KX233" s="1803"/>
      <c r="KY233" s="1803"/>
      <c r="KZ233" s="1803"/>
      <c r="LA233" s="1803"/>
      <c r="LB233" s="1803"/>
      <c r="LC233" s="1803"/>
      <c r="LD233" s="1803"/>
      <c r="LE233" s="1803"/>
      <c r="LF233" s="1803"/>
      <c r="LG233" s="1803"/>
      <c r="LH233" s="358"/>
      <c r="LI233" s="358"/>
      <c r="LJ233" s="358"/>
      <c r="LK233" s="358"/>
      <c r="LL233" s="358"/>
      <c r="LM233" s="358"/>
      <c r="LN233" s="1656"/>
      <c r="LO233" s="358"/>
      <c r="LP233" s="358"/>
      <c r="LQ233" s="358"/>
      <c r="LR233" s="358"/>
      <c r="LS233" s="358"/>
      <c r="LT233" s="358"/>
      <c r="LU233" s="358"/>
      <c r="LV233" s="358"/>
      <c r="LW233" s="358"/>
      <c r="LX233" s="358"/>
      <c r="LY233" s="358"/>
      <c r="LZ233" s="358"/>
      <c r="MA233" s="358"/>
      <c r="MB233" s="358"/>
      <c r="MC233" s="358"/>
      <c r="MD233" s="1656"/>
      <c r="ME233" s="1656"/>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1" t="s">
        <v>4344</v>
      </c>
      <c r="NQ233" s="2480">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90">
        <v>16000</v>
      </c>
      <c r="G234" s="3491"/>
      <c r="H234" s="1"/>
      <c r="I234" s="3508" t="s">
        <v>46</v>
      </c>
      <c r="J234" s="3509"/>
      <c r="K234" s="3510"/>
      <c r="L234" s="3505"/>
      <c r="M234" s="3506"/>
      <c r="N234" s="3507"/>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360000</v>
      </c>
      <c r="R234" s="1"/>
      <c r="S234" s="3453"/>
      <c r="T234" s="3454"/>
      <c r="U234" s="3454"/>
      <c r="V234" s="3454"/>
      <c r="W234" s="3455"/>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3"/>
      <c r="JX234" s="358"/>
      <c r="JY234" s="358"/>
      <c r="JZ234" s="358"/>
      <c r="KA234" s="358"/>
      <c r="KB234" s="1803"/>
      <c r="KC234" s="358"/>
      <c r="KD234" s="358"/>
      <c r="KE234" s="358"/>
      <c r="KF234" s="358"/>
      <c r="KG234" s="1803"/>
      <c r="KH234" s="358"/>
      <c r="KI234" s="358"/>
      <c r="KJ234" s="358"/>
      <c r="KK234" s="358"/>
      <c r="KL234" s="1803"/>
      <c r="KM234" s="1803"/>
      <c r="KN234" s="1803"/>
      <c r="KO234" s="1803"/>
      <c r="KP234" s="1803"/>
      <c r="KQ234" s="1803"/>
      <c r="KR234" s="1803"/>
      <c r="KS234" s="1803"/>
      <c r="KT234" s="1803"/>
      <c r="KU234" s="1803"/>
      <c r="KV234" s="1803"/>
      <c r="KW234" s="1803"/>
      <c r="KX234" s="1803"/>
      <c r="KY234" s="1803"/>
      <c r="KZ234" s="1803"/>
      <c r="LA234" s="1803"/>
      <c r="LB234" s="1803"/>
      <c r="LC234" s="1803"/>
      <c r="LD234" s="1803"/>
      <c r="LE234" s="1803"/>
      <c r="LF234" s="1803"/>
      <c r="LG234" s="1803"/>
      <c r="LH234" s="358"/>
      <c r="LI234" s="358"/>
      <c r="LJ234" s="358"/>
      <c r="LK234" s="358"/>
      <c r="LL234" s="358"/>
      <c r="LM234" s="358"/>
      <c r="LN234" s="1656"/>
      <c r="LO234" s="358"/>
      <c r="LP234" s="358"/>
      <c r="LQ234" s="358"/>
      <c r="LR234" s="358"/>
      <c r="LS234" s="358"/>
      <c r="LT234" s="358"/>
      <c r="LU234" s="358"/>
      <c r="LV234" s="358"/>
      <c r="LW234" s="358"/>
      <c r="LX234" s="358"/>
      <c r="LY234" s="358"/>
      <c r="LZ234" s="358"/>
      <c r="MA234" s="358"/>
      <c r="MB234" s="358"/>
      <c r="MC234" s="358"/>
      <c r="MD234" s="1656"/>
      <c r="ME234" s="1656"/>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1"/>
      <c r="NQ234" s="2478">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5">
        <v>7500</v>
      </c>
      <c r="G235" s="3496"/>
      <c r="H235" s="1"/>
      <c r="I235" s="4"/>
      <c r="K235" s="8" t="s">
        <v>184</v>
      </c>
      <c r="L235" s="3511">
        <f>SUM(L231:L234)</f>
        <v>20500</v>
      </c>
      <c r="M235" s="3512"/>
      <c r="N235" s="3507"/>
      <c r="O235" s="3513" t="s">
        <v>4832</v>
      </c>
      <c r="P235" s="3513"/>
      <c r="Q235" s="3513"/>
      <c r="R235" s="1"/>
      <c r="S235" s="3453"/>
      <c r="T235" s="3454"/>
      <c r="U235" s="3454"/>
      <c r="V235" s="3454"/>
      <c r="W235" s="3455"/>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3"/>
      <c r="JX235" s="358"/>
      <c r="JY235" s="358"/>
      <c r="JZ235" s="358"/>
      <c r="KA235" s="358"/>
      <c r="KB235" s="1803"/>
      <c r="KC235" s="358"/>
      <c r="KD235" s="358"/>
      <c r="KE235" s="358"/>
      <c r="KF235" s="358"/>
      <c r="KG235" s="1803"/>
      <c r="KH235" s="358"/>
      <c r="KI235" s="358"/>
      <c r="KJ235" s="358"/>
      <c r="KK235" s="358"/>
      <c r="KL235" s="1803"/>
      <c r="KM235" s="1803"/>
      <c r="KN235" s="1803"/>
      <c r="KO235" s="1803"/>
      <c r="KP235" s="1803"/>
      <c r="KQ235" s="1803"/>
      <c r="KR235" s="1803"/>
      <c r="KS235" s="1803"/>
      <c r="KT235" s="1803"/>
      <c r="KU235" s="1803"/>
      <c r="KV235" s="1803"/>
      <c r="KW235" s="1803"/>
      <c r="KX235" s="1803"/>
      <c r="KY235" s="1803"/>
      <c r="KZ235" s="1803"/>
      <c r="LA235" s="1803"/>
      <c r="LB235" s="1803"/>
      <c r="LC235" s="1803"/>
      <c r="LD235" s="1803"/>
      <c r="LE235" s="1803"/>
      <c r="LF235" s="1803"/>
      <c r="LG235" s="1803"/>
      <c r="LH235" s="358"/>
      <c r="LI235" s="358"/>
      <c r="LJ235" s="358"/>
      <c r="LK235" s="358"/>
      <c r="LL235" s="358"/>
      <c r="LM235" s="358"/>
      <c r="LN235" s="1656"/>
      <c r="LO235" s="358"/>
      <c r="LP235" s="358"/>
      <c r="LQ235" s="358"/>
      <c r="LR235" s="358"/>
      <c r="LS235" s="358"/>
      <c r="LT235" s="358"/>
      <c r="LU235" s="358"/>
      <c r="LV235" s="358"/>
      <c r="LW235" s="358"/>
      <c r="LX235" s="358"/>
      <c r="LY235" s="358"/>
      <c r="LZ235" s="358"/>
      <c r="MA235" s="358"/>
      <c r="MB235" s="358"/>
      <c r="MC235" s="358"/>
      <c r="MD235" s="1656"/>
      <c r="ME235" s="1656"/>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1"/>
      <c r="NQ235" s="2480">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5"/>
      <c r="G236" s="3496"/>
      <c r="H236" s="1"/>
      <c r="N236" s="1"/>
      <c r="O236" s="3513"/>
      <c r="P236" s="3513"/>
      <c r="Q236" s="3513"/>
      <c r="R236" s="876"/>
      <c r="S236" s="3453"/>
      <c r="T236" s="3454"/>
      <c r="U236" s="3454"/>
      <c r="V236" s="3454"/>
      <c r="W236" s="3455"/>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3"/>
      <c r="JX236" s="358"/>
      <c r="JY236" s="358"/>
      <c r="JZ236" s="358"/>
      <c r="KA236" s="358"/>
      <c r="KB236" s="1803"/>
      <c r="KC236" s="358"/>
      <c r="KD236" s="358"/>
      <c r="KE236" s="358"/>
      <c r="KF236" s="358"/>
      <c r="KG236" s="1803"/>
      <c r="KH236" s="358"/>
      <c r="KI236" s="358"/>
      <c r="KJ236" s="358"/>
      <c r="KK236" s="358"/>
      <c r="KL236" s="1803"/>
      <c r="KM236" s="1803"/>
      <c r="KN236" s="1803"/>
      <c r="KO236" s="1803"/>
      <c r="KP236" s="1803"/>
      <c r="KQ236" s="1803"/>
      <c r="KR236" s="1803"/>
      <c r="KS236" s="1803"/>
      <c r="KT236" s="1803"/>
      <c r="KU236" s="1803"/>
      <c r="KV236" s="1803"/>
      <c r="KW236" s="1803"/>
      <c r="KX236" s="1803"/>
      <c r="KY236" s="1803"/>
      <c r="KZ236" s="1803"/>
      <c r="LA236" s="1803"/>
      <c r="LB236" s="1803"/>
      <c r="LC236" s="1803"/>
      <c r="LD236" s="1803"/>
      <c r="LE236" s="1803"/>
      <c r="LF236" s="1803"/>
      <c r="LG236" s="1803"/>
      <c r="LH236" s="358"/>
      <c r="LI236" s="358"/>
      <c r="LJ236" s="358"/>
      <c r="LK236" s="358"/>
      <c r="LL236" s="358"/>
      <c r="LM236" s="358"/>
      <c r="LN236" s="1656"/>
      <c r="LO236" s="358"/>
      <c r="LP236" s="358"/>
      <c r="LQ236" s="358"/>
      <c r="LR236" s="358"/>
      <c r="LS236" s="358"/>
      <c r="LT236" s="358"/>
      <c r="LU236" s="358"/>
      <c r="LV236" s="358"/>
      <c r="LW236" s="358"/>
      <c r="LX236" s="358"/>
      <c r="LY236" s="358"/>
      <c r="LZ236" s="358"/>
      <c r="MA236" s="358"/>
      <c r="MB236" s="358"/>
      <c r="MC236" s="358"/>
      <c r="MD236" s="1656"/>
      <c r="ME236" s="1656"/>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1"/>
      <c r="NQ236" s="2480">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5"/>
      <c r="G237" s="3496"/>
      <c r="H237" s="1"/>
      <c r="L237" s="1"/>
      <c r="M237" s="1"/>
      <c r="N237" s="1"/>
      <c r="R237" s="876"/>
      <c r="S237" s="3453"/>
      <c r="T237" s="3454"/>
      <c r="U237" s="3454"/>
      <c r="V237" s="3454"/>
      <c r="W237" s="3455"/>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3"/>
      <c r="JX237" s="358"/>
      <c r="JY237" s="358"/>
      <c r="JZ237" s="358"/>
      <c r="KA237" s="358"/>
      <c r="KB237" s="1803"/>
      <c r="KC237" s="358"/>
      <c r="KD237" s="358"/>
      <c r="KE237" s="358"/>
      <c r="KF237" s="358"/>
      <c r="KG237" s="1803"/>
      <c r="KH237" s="358"/>
      <c r="KI237" s="358"/>
      <c r="KJ237" s="358"/>
      <c r="KK237" s="358"/>
      <c r="KL237" s="1803"/>
      <c r="KM237" s="1803"/>
      <c r="KN237" s="1803"/>
      <c r="KO237" s="1803"/>
      <c r="KP237" s="1803"/>
      <c r="KQ237" s="1803"/>
      <c r="KR237" s="1803"/>
      <c r="KS237" s="1803"/>
      <c r="KT237" s="1803"/>
      <c r="KU237" s="1803"/>
      <c r="KV237" s="1803"/>
      <c r="KW237" s="1803"/>
      <c r="KX237" s="1803"/>
      <c r="KY237" s="1803"/>
      <c r="KZ237" s="1803"/>
      <c r="LA237" s="1803"/>
      <c r="LB237" s="1803"/>
      <c r="LC237" s="1803"/>
      <c r="LD237" s="1803"/>
      <c r="LE237" s="1803"/>
      <c r="LF237" s="1803"/>
      <c r="LG237" s="1803"/>
      <c r="LH237" s="358"/>
      <c r="LI237" s="358"/>
      <c r="LJ237" s="358"/>
      <c r="LK237" s="358"/>
      <c r="LL237" s="358"/>
      <c r="LM237" s="358"/>
      <c r="LN237" s="1656"/>
      <c r="LO237" s="358"/>
      <c r="LP237" s="358"/>
      <c r="LQ237" s="358"/>
      <c r="LR237" s="358"/>
      <c r="LS237" s="358"/>
      <c r="LT237" s="358"/>
      <c r="LU237" s="358"/>
      <c r="LV237" s="358"/>
      <c r="LW237" s="358"/>
      <c r="LX237" s="358"/>
      <c r="LY237" s="358"/>
      <c r="LZ237" s="358"/>
      <c r="MA237" s="358"/>
      <c r="MB237" s="358"/>
      <c r="MC237" s="358"/>
      <c r="MD237" s="1656"/>
      <c r="ME237" s="1656"/>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1" t="s">
        <v>4345</v>
      </c>
      <c r="NQ237" s="2480">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5">
        <v>20000</v>
      </c>
      <c r="G238" s="3496"/>
      <c r="H238" s="1"/>
      <c r="I238" s="4" t="s">
        <v>1295</v>
      </c>
      <c r="K238" s="248" t="s">
        <v>3761</v>
      </c>
      <c r="O238" s="1249" t="s">
        <v>3000</v>
      </c>
      <c r="P238" s="4"/>
      <c r="Q238" s="904">
        <f>Q247</f>
        <v>24000</v>
      </c>
      <c r="S238" s="3453"/>
      <c r="T238" s="3454"/>
      <c r="U238" s="3454"/>
      <c r="V238" s="3454"/>
      <c r="W238" s="3455"/>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3"/>
      <c r="JX238" s="358"/>
      <c r="JY238" s="358"/>
      <c r="JZ238" s="358"/>
      <c r="KA238" s="358"/>
      <c r="KB238" s="1803"/>
      <c r="KC238" s="358"/>
      <c r="KD238" s="358"/>
      <c r="KE238" s="358"/>
      <c r="KF238" s="358"/>
      <c r="KG238" s="1803"/>
      <c r="KH238" s="358"/>
      <c r="KI238" s="358"/>
      <c r="KJ238" s="358"/>
      <c r="KK238" s="358"/>
      <c r="KL238" s="1803"/>
      <c r="KM238" s="1803"/>
      <c r="KN238" s="1803"/>
      <c r="KO238" s="1803"/>
      <c r="KP238" s="1803"/>
      <c r="KQ238" s="1803"/>
      <c r="KR238" s="1803"/>
      <c r="KS238" s="1803"/>
      <c r="KT238" s="1803"/>
      <c r="KU238" s="1803"/>
      <c r="KV238" s="1803"/>
      <c r="KW238" s="1803"/>
      <c r="KX238" s="1803"/>
      <c r="KY238" s="1803"/>
      <c r="KZ238" s="1803"/>
      <c r="LA238" s="1803"/>
      <c r="LB238" s="1803"/>
      <c r="LC238" s="1803"/>
      <c r="LD238" s="1803"/>
      <c r="LE238" s="1803"/>
      <c r="LF238" s="1803"/>
      <c r="LG238" s="1803"/>
      <c r="LH238" s="358"/>
      <c r="LI238" s="358"/>
      <c r="LJ238" s="358"/>
      <c r="LK238" s="358"/>
      <c r="LL238" s="358"/>
      <c r="LM238" s="358"/>
      <c r="LN238" s="1656"/>
      <c r="LO238" s="358"/>
      <c r="LP238" s="358"/>
      <c r="LQ238" s="358"/>
      <c r="LR238" s="358"/>
      <c r="LS238" s="358"/>
      <c r="LT238" s="358"/>
      <c r="LU238" s="358"/>
      <c r="LV238" s="358"/>
      <c r="LW238" s="358"/>
      <c r="LX238" s="358"/>
      <c r="LY238" s="358"/>
      <c r="LZ238" s="358"/>
      <c r="MA238" s="358"/>
      <c r="MB238" s="358"/>
      <c r="MC238" s="358"/>
      <c r="MD238" s="1656"/>
      <c r="ME238" s="1656"/>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1"/>
      <c r="NQ238" s="2480">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2" t="s">
        <v>46</v>
      </c>
      <c r="C239" s="3493"/>
      <c r="D239" s="3493"/>
      <c r="E239" s="3494"/>
      <c r="F239" s="3497"/>
      <c r="G239" s="3498"/>
      <c r="H239" s="1"/>
      <c r="I239" s="1" t="s">
        <v>1288</v>
      </c>
      <c r="K239" s="364">
        <f>L239/12/P67</f>
        <v>16.666666666666664</v>
      </c>
      <c r="L239" s="3503">
        <v>16000</v>
      </c>
      <c r="M239" s="3504"/>
      <c r="N239" s="3507" t="str">
        <f>IF(Q238&lt;Q247, "WARNING! RR proposed is below the DCA required minimum.","")</f>
        <v/>
      </c>
      <c r="O239" s="759" t="s">
        <v>3760</v>
      </c>
      <c r="P239" s="754"/>
      <c r="Q239" s="760">
        <f>Q238/P247</f>
        <v>300</v>
      </c>
      <c r="R239" s="659"/>
      <c r="S239" s="3453"/>
      <c r="T239" s="3454"/>
      <c r="U239" s="3454"/>
      <c r="V239" s="3454"/>
      <c r="W239" s="3455"/>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3"/>
      <c r="JX239" s="358"/>
      <c r="JY239" s="358"/>
      <c r="JZ239" s="358"/>
      <c r="KA239" s="358"/>
      <c r="KB239" s="1803"/>
      <c r="KC239" s="358"/>
      <c r="KD239" s="358"/>
      <c r="KE239" s="358"/>
      <c r="KF239" s="358"/>
      <c r="KG239" s="1803"/>
      <c r="KH239" s="358"/>
      <c r="KI239" s="358"/>
      <c r="KJ239" s="358"/>
      <c r="KK239" s="358"/>
      <c r="KL239" s="1803"/>
      <c r="KM239" s="1803"/>
      <c r="KN239" s="1803"/>
      <c r="KO239" s="1803"/>
      <c r="KP239" s="1803"/>
      <c r="KQ239" s="1803"/>
      <c r="KR239" s="1803"/>
      <c r="KS239" s="1803"/>
      <c r="KT239" s="1803"/>
      <c r="KU239" s="1803"/>
      <c r="KV239" s="1803"/>
      <c r="KW239" s="1803"/>
      <c r="KX239" s="1803"/>
      <c r="KY239" s="1803"/>
      <c r="KZ239" s="1803"/>
      <c r="LA239" s="1803"/>
      <c r="LB239" s="1803"/>
      <c r="LC239" s="1803"/>
      <c r="LD239" s="1803"/>
      <c r="LE239" s="1803"/>
      <c r="LF239" s="1803"/>
      <c r="LG239" s="1803"/>
      <c r="LH239" s="358"/>
      <c r="LI239" s="358"/>
      <c r="LJ239" s="358"/>
      <c r="LK239" s="358"/>
      <c r="LL239" s="358"/>
      <c r="LM239" s="358"/>
      <c r="LN239" s="1656"/>
      <c r="LO239" s="358"/>
      <c r="LP239" s="358"/>
      <c r="LQ239" s="358"/>
      <c r="LR239" s="358"/>
      <c r="LS239" s="358"/>
      <c r="LT239" s="358"/>
      <c r="LU239" s="358"/>
      <c r="LV239" s="358"/>
      <c r="LW239" s="358"/>
      <c r="LX239" s="358"/>
      <c r="LY239" s="358"/>
      <c r="LZ239" s="358"/>
      <c r="MA239" s="358"/>
      <c r="MB239" s="358"/>
      <c r="MC239" s="358"/>
      <c r="MD239" s="1656"/>
      <c r="ME239" s="1656"/>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1"/>
      <c r="NQ239" s="2480">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9">
        <f>SUM(F234:G239)</f>
        <v>43500</v>
      </c>
      <c r="G240" s="3500"/>
      <c r="H240" s="1"/>
      <c r="I240" s="1" t="s">
        <v>1289</v>
      </c>
      <c r="K240" s="364">
        <f>L240/12/P67</f>
        <v>0</v>
      </c>
      <c r="L240" s="3501">
        <v>0</v>
      </c>
      <c r="M240" s="3502"/>
      <c r="N240" s="3552"/>
      <c r="O240" s="3553" t="s">
        <v>3147</v>
      </c>
      <c r="P240" s="3554"/>
      <c r="Q240" s="3555"/>
      <c r="S240" s="3453"/>
      <c r="T240" s="3454"/>
      <c r="U240" s="3454"/>
      <c r="V240" s="3454"/>
      <c r="W240" s="3455"/>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3"/>
      <c r="JX240" s="358"/>
      <c r="JY240" s="358"/>
      <c r="JZ240" s="358"/>
      <c r="KA240" s="358"/>
      <c r="KB240" s="1803"/>
      <c r="KC240" s="358"/>
      <c r="KD240" s="358"/>
      <c r="KE240" s="358"/>
      <c r="KF240" s="358"/>
      <c r="KG240" s="1803"/>
      <c r="KH240" s="358"/>
      <c r="KI240" s="358"/>
      <c r="KJ240" s="358"/>
      <c r="KK240" s="358"/>
      <c r="KL240" s="1803"/>
      <c r="KM240" s="1803"/>
      <c r="KN240" s="1803"/>
      <c r="KO240" s="1803"/>
      <c r="KP240" s="1803"/>
      <c r="KQ240" s="1803"/>
      <c r="KR240" s="1803"/>
      <c r="KS240" s="1803"/>
      <c r="KT240" s="1803"/>
      <c r="KU240" s="1803"/>
      <c r="KV240" s="1803"/>
      <c r="KW240" s="1803"/>
      <c r="KX240" s="1803"/>
      <c r="KY240" s="1803"/>
      <c r="KZ240" s="1803"/>
      <c r="LA240" s="1803"/>
      <c r="LB240" s="1803"/>
      <c r="LC240" s="1803"/>
      <c r="LD240" s="1803"/>
      <c r="LE240" s="1803"/>
      <c r="LF240" s="1803"/>
      <c r="LG240" s="1803"/>
      <c r="LH240" s="358"/>
      <c r="LI240" s="358"/>
      <c r="LJ240" s="358"/>
      <c r="LK240" s="358"/>
      <c r="LL240" s="358"/>
      <c r="LM240" s="358"/>
      <c r="LN240" s="1656"/>
      <c r="LO240" s="358"/>
      <c r="LP240" s="358"/>
      <c r="LQ240" s="358"/>
      <c r="LR240" s="358"/>
      <c r="LS240" s="358"/>
      <c r="LT240" s="358"/>
      <c r="LU240" s="358"/>
      <c r="LV240" s="358"/>
      <c r="LW240" s="358"/>
      <c r="LX240" s="358"/>
      <c r="LY240" s="358"/>
      <c r="LZ240" s="358"/>
      <c r="MA240" s="358"/>
      <c r="MB240" s="358"/>
      <c r="MC240" s="358"/>
      <c r="MD240" s="1656"/>
      <c r="ME240" s="1656"/>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1"/>
      <c r="NQ240" s="2481">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3805</v>
      </c>
      <c r="K241" s="364">
        <f>L241/12/P67</f>
        <v>7.916666666666667</v>
      </c>
      <c r="L241" s="3501">
        <v>7600</v>
      </c>
      <c r="M241" s="3502"/>
      <c r="N241" s="3552"/>
      <c r="O241" s="753" t="s">
        <v>2457</v>
      </c>
      <c r="P241" s="657" t="s">
        <v>3201</v>
      </c>
      <c r="Q241" s="755" t="s">
        <v>2971</v>
      </c>
      <c r="R241" s="1"/>
      <c r="S241" s="3453"/>
      <c r="T241" s="3454"/>
      <c r="U241" s="3454"/>
      <c r="V241" s="3454"/>
      <c r="W241" s="3455"/>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3"/>
      <c r="JX241" s="358"/>
      <c r="JY241" s="358"/>
      <c r="JZ241" s="358"/>
      <c r="KA241" s="358"/>
      <c r="KB241" s="1803"/>
      <c r="KC241" s="358"/>
      <c r="KD241" s="358"/>
      <c r="KE241" s="358"/>
      <c r="KF241" s="358"/>
      <c r="KG241" s="1803"/>
      <c r="KH241" s="358"/>
      <c r="KI241" s="358"/>
      <c r="KJ241" s="358"/>
      <c r="KK241" s="358"/>
      <c r="KL241" s="1803"/>
      <c r="KM241" s="1803"/>
      <c r="KN241" s="1803"/>
      <c r="KO241" s="1803"/>
      <c r="KP241" s="1803"/>
      <c r="KQ241" s="1803"/>
      <c r="KR241" s="1803"/>
      <c r="KS241" s="1803"/>
      <c r="KT241" s="1803"/>
      <c r="KU241" s="1803"/>
      <c r="KV241" s="1803"/>
      <c r="KW241" s="1803"/>
      <c r="KX241" s="1803"/>
      <c r="KY241" s="1803"/>
      <c r="KZ241" s="1803"/>
      <c r="LA241" s="1803"/>
      <c r="LB241" s="1803"/>
      <c r="LC241" s="1803"/>
      <c r="LD241" s="1803"/>
      <c r="LE241" s="1803"/>
      <c r="LF241" s="1803"/>
      <c r="LG241" s="1803"/>
      <c r="LH241" s="358"/>
      <c r="LI241" s="358"/>
      <c r="LJ241" s="358"/>
      <c r="LK241" s="358"/>
      <c r="LL241" s="358"/>
      <c r="LM241" s="358"/>
      <c r="LN241" s="1656"/>
      <c r="LO241" s="358"/>
      <c r="LP241" s="358"/>
      <c r="LQ241" s="358"/>
      <c r="LR241" s="358"/>
      <c r="LS241" s="358"/>
      <c r="LT241" s="358"/>
      <c r="LU241" s="358"/>
      <c r="LV241" s="358"/>
      <c r="LW241" s="358"/>
      <c r="LX241" s="358"/>
      <c r="LY241" s="358"/>
      <c r="LZ241" s="358"/>
      <c r="MA241" s="358"/>
      <c r="MB241" s="358"/>
      <c r="MC241" s="358"/>
      <c r="MD241" s="1656"/>
      <c r="ME241" s="1656"/>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1" t="s">
        <v>4278</v>
      </c>
      <c r="NQ241" s="2480">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12.5</v>
      </c>
      <c r="L242" s="3501">
        <v>12000</v>
      </c>
      <c r="M242" s="3502"/>
      <c r="N242" s="3552"/>
      <c r="O242" s="498" t="s">
        <v>36</v>
      </c>
      <c r="Q242" s="499"/>
      <c r="R242" s="660"/>
      <c r="S242" s="3453"/>
      <c r="T242" s="3454"/>
      <c r="U242" s="3454"/>
      <c r="V242" s="3454"/>
      <c r="W242" s="3455"/>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3"/>
      <c r="JX242" s="358"/>
      <c r="JY242" s="358"/>
      <c r="JZ242" s="358"/>
      <c r="KA242" s="358"/>
      <c r="KB242" s="1803"/>
      <c r="KC242" s="358"/>
      <c r="KD242" s="358"/>
      <c r="KE242" s="358"/>
      <c r="KF242" s="358"/>
      <c r="KG242" s="1803"/>
      <c r="KH242" s="358"/>
      <c r="KI242" s="358"/>
      <c r="KJ242" s="358"/>
      <c r="KK242" s="358"/>
      <c r="KL242" s="1803"/>
      <c r="KM242" s="1803"/>
      <c r="KN242" s="1803"/>
      <c r="KO242" s="1803"/>
      <c r="KP242" s="1803"/>
      <c r="KQ242" s="1803"/>
      <c r="KR242" s="1803"/>
      <c r="KS242" s="1803"/>
      <c r="KT242" s="1803"/>
      <c r="KU242" s="1803"/>
      <c r="KV242" s="1803"/>
      <c r="KW242" s="1803"/>
      <c r="KX242" s="1803"/>
      <c r="KY242" s="1803"/>
      <c r="KZ242" s="1803"/>
      <c r="LA242" s="1803"/>
      <c r="LB242" s="1803"/>
      <c r="LC242" s="1803"/>
      <c r="LD242" s="1803"/>
      <c r="LE242" s="1803"/>
      <c r="LF242" s="1803"/>
      <c r="LG242" s="1803"/>
      <c r="LH242" s="358"/>
      <c r="LI242" s="358"/>
      <c r="LJ242" s="358"/>
      <c r="LK242" s="358"/>
      <c r="LL242" s="358"/>
      <c r="LM242" s="358"/>
      <c r="LN242" s="1656"/>
      <c r="LO242" s="358"/>
      <c r="LP242" s="358"/>
      <c r="LQ242" s="358"/>
      <c r="LR242" s="358"/>
      <c r="LS242" s="358"/>
      <c r="LT242" s="358"/>
      <c r="LU242" s="358"/>
      <c r="LV242" s="358"/>
      <c r="LW242" s="358"/>
      <c r="LX242" s="358"/>
      <c r="LY242" s="358"/>
      <c r="LZ242" s="358"/>
      <c r="MA242" s="358"/>
      <c r="MB242" s="358"/>
      <c r="MC242" s="358"/>
      <c r="MD242" s="1656"/>
      <c r="ME242" s="1656"/>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1"/>
      <c r="NQ242" s="2478">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2"/>
      <c r="G243" s="3523"/>
      <c r="H243" s="1"/>
      <c r="I243" s="72" t="s">
        <v>4576</v>
      </c>
      <c r="K243" s="364">
        <f>L243/12/P67</f>
        <v>3.125</v>
      </c>
      <c r="L243" s="3501">
        <v>3000</v>
      </c>
      <c r="M243" s="3502"/>
      <c r="N243" s="3552"/>
      <c r="O243" s="386" t="s">
        <v>2969</v>
      </c>
      <c r="P243" s="661" t="str">
        <f>CONCATENATE(SUM(MF49:MJ49)," units x $",'DCA Underwriting Assumptions'!$Q$41," =")</f>
        <v>0 units x $400 =</v>
      </c>
      <c r="Q243" s="500">
        <f>SUM(MF49:MJ49)*'DCA Underwriting Assumptions'!$Q$41</f>
        <v>0</v>
      </c>
      <c r="R243" s="663"/>
      <c r="S243" s="3453"/>
      <c r="T243" s="3454"/>
      <c r="U243" s="3454"/>
      <c r="V243" s="3454"/>
      <c r="W243" s="3455"/>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3"/>
      <c r="JX243" s="358"/>
      <c r="JY243" s="358"/>
      <c r="JZ243" s="358"/>
      <c r="KA243" s="358"/>
      <c r="KB243" s="1803"/>
      <c r="KC243" s="358"/>
      <c r="KD243" s="358"/>
      <c r="KE243" s="358"/>
      <c r="KF243" s="358"/>
      <c r="KG243" s="1803"/>
      <c r="KH243" s="358"/>
      <c r="KI243" s="358"/>
      <c r="KJ243" s="358"/>
      <c r="KK243" s="358"/>
      <c r="KL243" s="1803"/>
      <c r="KM243" s="1803"/>
      <c r="KN243" s="1803"/>
      <c r="KO243" s="1803"/>
      <c r="KP243" s="1803"/>
      <c r="KQ243" s="1803"/>
      <c r="KR243" s="1803"/>
      <c r="KS243" s="1803"/>
      <c r="KT243" s="1803"/>
      <c r="KU243" s="1803"/>
      <c r="KV243" s="1803"/>
      <c r="KW243" s="1803"/>
      <c r="KX243" s="1803"/>
      <c r="KY243" s="1803"/>
      <c r="KZ243" s="1803"/>
      <c r="LA243" s="1803"/>
      <c r="LB243" s="1803"/>
      <c r="LC243" s="1803"/>
      <c r="LD243" s="1803"/>
      <c r="LE243" s="1803"/>
      <c r="LF243" s="1803"/>
      <c r="LG243" s="1803"/>
      <c r="LH243" s="358"/>
      <c r="LI243" s="358"/>
      <c r="LJ243" s="358"/>
      <c r="LK243" s="358"/>
      <c r="LL243" s="358"/>
      <c r="LM243" s="358"/>
      <c r="LN243" s="1656"/>
      <c r="LO243" s="358"/>
      <c r="LP243" s="358"/>
      <c r="LQ243" s="358"/>
      <c r="LR243" s="358"/>
      <c r="LS243" s="358"/>
      <c r="LT243" s="358"/>
      <c r="LU243" s="358"/>
      <c r="LV243" s="358"/>
      <c r="LW243" s="358"/>
      <c r="LX243" s="358"/>
      <c r="LY243" s="358"/>
      <c r="LZ243" s="358"/>
      <c r="MA243" s="358"/>
      <c r="MB243" s="358"/>
      <c r="MC243" s="358"/>
      <c r="MD243" s="1656"/>
      <c r="ME243" s="1656"/>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1"/>
      <c r="NQ243" s="2480">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20">
        <v>22000</v>
      </c>
      <c r="G244" s="3521"/>
      <c r="H244" s="1"/>
      <c r="I244" s="3556" t="s">
        <v>46</v>
      </c>
      <c r="J244" s="3557"/>
      <c r="K244" s="364">
        <f>L244/12/P67</f>
        <v>0</v>
      </c>
      <c r="L244" s="3505"/>
      <c r="M244" s="3506"/>
      <c r="N244" s="3552"/>
      <c r="O244" s="386" t="s">
        <v>2968</v>
      </c>
      <c r="P244" s="661" t="str">
        <f>CONCATENATE(SUM(MK49:MO49)," units x $",'DCA Underwriting Assumptions'!$Q$42," =")</f>
        <v>80 units x $300 =</v>
      </c>
      <c r="Q244" s="500">
        <f>SUM(MK49:MO49)*'DCA Underwriting Assumptions'!$Q$42</f>
        <v>24000</v>
      </c>
      <c r="S244" s="3453"/>
      <c r="T244" s="3454"/>
      <c r="U244" s="3454"/>
      <c r="V244" s="3454"/>
      <c r="W244" s="3455"/>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3"/>
      <c r="JX244" s="358"/>
      <c r="JY244" s="358"/>
      <c r="JZ244" s="358"/>
      <c r="KA244" s="358"/>
      <c r="KB244" s="1803"/>
      <c r="KC244" s="358"/>
      <c r="KD244" s="358"/>
      <c r="KE244" s="358"/>
      <c r="KF244" s="358"/>
      <c r="KG244" s="1803"/>
      <c r="KH244" s="358"/>
      <c r="KI244" s="358"/>
      <c r="KJ244" s="358"/>
      <c r="KK244" s="358"/>
      <c r="KL244" s="1803"/>
      <c r="KM244" s="1803"/>
      <c r="KN244" s="1803"/>
      <c r="KO244" s="1803"/>
      <c r="KP244" s="1803"/>
      <c r="KQ244" s="1803"/>
      <c r="KR244" s="1803"/>
      <c r="KS244" s="1803"/>
      <c r="KT244" s="1803"/>
      <c r="KU244" s="1803"/>
      <c r="KV244" s="1803"/>
      <c r="KW244" s="1803"/>
      <c r="KX244" s="1803"/>
      <c r="KY244" s="1803"/>
      <c r="KZ244" s="1803"/>
      <c r="LA244" s="1803"/>
      <c r="LB244" s="1803"/>
      <c r="LC244" s="1803"/>
      <c r="LD244" s="1803"/>
      <c r="LE244" s="1803"/>
      <c r="LF244" s="1803"/>
      <c r="LG244" s="1803"/>
      <c r="LH244" s="358"/>
      <c r="LI244" s="358"/>
      <c r="LJ244" s="358"/>
      <c r="LK244" s="358"/>
      <c r="LL244" s="358"/>
      <c r="LM244" s="358"/>
      <c r="LN244" s="1656"/>
      <c r="LO244" s="358"/>
      <c r="LP244" s="358"/>
      <c r="LQ244" s="358"/>
      <c r="LR244" s="358"/>
      <c r="LS244" s="358"/>
      <c r="LT244" s="358"/>
      <c r="LU244" s="358"/>
      <c r="LV244" s="358"/>
      <c r="LW244" s="358"/>
      <c r="LX244" s="358"/>
      <c r="LY244" s="358"/>
      <c r="LZ244" s="358"/>
      <c r="MA244" s="358"/>
      <c r="MB244" s="358"/>
      <c r="MC244" s="358"/>
      <c r="MD244" s="1656"/>
      <c r="ME244" s="1656"/>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1"/>
      <c r="NQ244" s="2480">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20">
        <v>15000</v>
      </c>
      <c r="G245" s="3521"/>
      <c r="H245" s="1"/>
      <c r="K245" s="8" t="s">
        <v>184</v>
      </c>
      <c r="L245" s="3511">
        <f>SUM(L239:L244)</f>
        <v>38600</v>
      </c>
      <c r="M245" s="3512"/>
      <c r="N245" s="3552"/>
      <c r="O245" s="501" t="s">
        <v>4397</v>
      </c>
      <c r="P245" s="661" t="str">
        <f>CONCATENATE(SUM(MP49:MT49)," units x $",'DCA Underwriting Assumptions'!$Q$43," =")</f>
        <v>0 units x $470 =</v>
      </c>
      <c r="Q245" s="500">
        <f>SUM(MP49:MT49)*'DCA Underwriting Assumptions'!$Q$43</f>
        <v>0</v>
      </c>
      <c r="R245" s="657"/>
      <c r="S245" s="3453"/>
      <c r="T245" s="3454"/>
      <c r="U245" s="3454"/>
      <c r="V245" s="3454"/>
      <c r="W245" s="3455"/>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3"/>
      <c r="JX245" s="358"/>
      <c r="JY245" s="358"/>
      <c r="JZ245" s="358"/>
      <c r="KA245" s="358"/>
      <c r="KB245" s="1803"/>
      <c r="KC245" s="358"/>
      <c r="KD245" s="358"/>
      <c r="KE245" s="358"/>
      <c r="KF245" s="358"/>
      <c r="KG245" s="1803"/>
      <c r="KH245" s="358"/>
      <c r="KI245" s="358"/>
      <c r="KJ245" s="358"/>
      <c r="KK245" s="358"/>
      <c r="KL245" s="1803"/>
      <c r="KM245" s="1803"/>
      <c r="KN245" s="1803"/>
      <c r="KO245" s="1803"/>
      <c r="KP245" s="1803"/>
      <c r="KQ245" s="1803"/>
      <c r="KR245" s="1803"/>
      <c r="KS245" s="1803"/>
      <c r="KT245" s="1803"/>
      <c r="KU245" s="1803"/>
      <c r="KV245" s="1803"/>
      <c r="KW245" s="1803"/>
      <c r="KX245" s="1803"/>
      <c r="KY245" s="1803"/>
      <c r="KZ245" s="1803"/>
      <c r="LA245" s="1803"/>
      <c r="LB245" s="1803"/>
      <c r="LC245" s="1803"/>
      <c r="LD245" s="1803"/>
      <c r="LE245" s="1803"/>
      <c r="LF245" s="1803"/>
      <c r="LG245" s="1803"/>
      <c r="LH245" s="358"/>
      <c r="LI245" s="358"/>
      <c r="LJ245" s="358"/>
      <c r="LK245" s="358"/>
      <c r="LL245" s="358"/>
      <c r="LM245" s="358"/>
      <c r="LN245" s="1656"/>
      <c r="LO245" s="358"/>
      <c r="LP245" s="358"/>
      <c r="LQ245" s="358"/>
      <c r="LR245" s="358"/>
      <c r="LS245" s="358"/>
      <c r="LT245" s="358"/>
      <c r="LU245" s="358"/>
      <c r="LV245" s="358"/>
      <c r="LW245" s="358"/>
      <c r="LX245" s="358"/>
      <c r="LY245" s="358"/>
      <c r="LZ245" s="358"/>
      <c r="MA245" s="358"/>
      <c r="MB245" s="358"/>
      <c r="MC245" s="358"/>
      <c r="MD245" s="1656"/>
      <c r="ME245" s="1656"/>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1"/>
      <c r="NQ245" s="2478">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5">
        <v>4000</v>
      </c>
      <c r="G246" s="3496"/>
      <c r="H246" s="1"/>
      <c r="O246" s="501" t="s">
        <v>2967</v>
      </c>
      <c r="P246" s="661" t="str">
        <f>CONCATENATE(P125," units x $",'DCA Underwriting Assumptions'!$Q$44," =")</f>
        <v>0 units x $420 =</v>
      </c>
      <c r="Q246" s="500">
        <f>P125*'DCA Underwriting Assumptions'!$Q$44</f>
        <v>0</v>
      </c>
      <c r="S246" s="3453"/>
      <c r="T246" s="3454"/>
      <c r="U246" s="3454"/>
      <c r="V246" s="3454"/>
      <c r="W246" s="3455"/>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3"/>
      <c r="JX246" s="358"/>
      <c r="JY246" s="358"/>
      <c r="JZ246" s="358"/>
      <c r="KA246" s="358"/>
      <c r="KB246" s="1803"/>
      <c r="KC246" s="358"/>
      <c r="KD246" s="358"/>
      <c r="KE246" s="358"/>
      <c r="KF246" s="358"/>
      <c r="KG246" s="1803"/>
      <c r="KH246" s="358"/>
      <c r="KI246" s="358"/>
      <c r="KJ246" s="358"/>
      <c r="KK246" s="358"/>
      <c r="KL246" s="1803"/>
      <c r="KM246" s="1803"/>
      <c r="KN246" s="1803"/>
      <c r="KO246" s="1803"/>
      <c r="KP246" s="1803"/>
      <c r="KQ246" s="1803"/>
      <c r="KR246" s="1803"/>
      <c r="KS246" s="1803"/>
      <c r="KT246" s="1803"/>
      <c r="KU246" s="1803"/>
      <c r="KV246" s="1803"/>
      <c r="KW246" s="1803"/>
      <c r="KX246" s="1803"/>
      <c r="KY246" s="1803"/>
      <c r="KZ246" s="1803"/>
      <c r="LA246" s="1803"/>
      <c r="LB246" s="1803"/>
      <c r="LC246" s="1803"/>
      <c r="LD246" s="1803"/>
      <c r="LE246" s="1803"/>
      <c r="LF246" s="1803"/>
      <c r="LG246" s="1803"/>
      <c r="LH246" s="358"/>
      <c r="LI246" s="358"/>
      <c r="LJ246" s="358"/>
      <c r="LK246" s="358"/>
      <c r="LL246" s="358"/>
      <c r="LM246" s="358"/>
      <c r="LN246" s="1656"/>
      <c r="LO246" s="358"/>
      <c r="LP246" s="358"/>
      <c r="LQ246" s="358"/>
      <c r="LR246" s="358"/>
      <c r="LS246" s="358"/>
      <c r="LT246" s="358"/>
      <c r="LU246" s="358"/>
      <c r="LV246" s="358"/>
      <c r="LW246" s="358"/>
      <c r="LX246" s="358"/>
      <c r="LY246" s="358"/>
      <c r="LZ246" s="358"/>
      <c r="MA246" s="358"/>
      <c r="MB246" s="358"/>
      <c r="MC246" s="358"/>
      <c r="MD246" s="1656"/>
      <c r="ME246" s="1656"/>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1" t="s">
        <v>4346</v>
      </c>
      <c r="NQ246" s="2480">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5">
        <v>12000</v>
      </c>
      <c r="G247" s="3496"/>
      <c r="H247" s="1"/>
      <c r="I247" s="4" t="s">
        <v>1296</v>
      </c>
      <c r="O247" s="756" t="s">
        <v>2460</v>
      </c>
      <c r="P247" s="757">
        <f>SUM(MF49:MJ49)+SUM(MK49:MO49)+SUM(MP49:MT49)+P125</f>
        <v>80</v>
      </c>
      <c r="Q247" s="758">
        <f>SUM(Q243:Q246)</f>
        <v>24000</v>
      </c>
      <c r="R247" s="661"/>
      <c r="S247" s="3453"/>
      <c r="T247" s="3454"/>
      <c r="U247" s="3454"/>
      <c r="V247" s="3454"/>
      <c r="W247" s="3455"/>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3"/>
      <c r="JX247" s="358"/>
      <c r="JY247" s="358"/>
      <c r="JZ247" s="358"/>
      <c r="KA247" s="358"/>
      <c r="KB247" s="1803"/>
      <c r="KC247" s="358"/>
      <c r="KD247" s="358"/>
      <c r="KE247" s="358"/>
      <c r="KF247" s="358"/>
      <c r="KG247" s="1803"/>
      <c r="KH247" s="358"/>
      <c r="KI247" s="358"/>
      <c r="KJ247" s="358"/>
      <c r="KK247" s="358"/>
      <c r="KL247" s="1803"/>
      <c r="KM247" s="1803"/>
      <c r="KN247" s="1803"/>
      <c r="KO247" s="1803"/>
      <c r="KP247" s="1803"/>
      <c r="KQ247" s="1803"/>
      <c r="KR247" s="1803"/>
      <c r="KS247" s="1803"/>
      <c r="KT247" s="1803"/>
      <c r="KU247" s="1803"/>
      <c r="KV247" s="1803"/>
      <c r="KW247" s="1803"/>
      <c r="KX247" s="1803"/>
      <c r="KY247" s="1803"/>
      <c r="KZ247" s="1803"/>
      <c r="LA247" s="1803"/>
      <c r="LB247" s="1803"/>
      <c r="LC247" s="1803"/>
      <c r="LD247" s="1803"/>
      <c r="LE247" s="1803"/>
      <c r="LF247" s="1803"/>
      <c r="LG247" s="1803"/>
      <c r="LH247" s="358"/>
      <c r="LI247" s="358"/>
      <c r="LJ247" s="358"/>
      <c r="LK247" s="358"/>
      <c r="LL247" s="358"/>
      <c r="LM247" s="358"/>
      <c r="LN247" s="1656"/>
      <c r="LO247" s="358"/>
      <c r="LP247" s="358"/>
      <c r="LQ247" s="358"/>
      <c r="LR247" s="358"/>
      <c r="LS247" s="358"/>
      <c r="LT247" s="358"/>
      <c r="LU247" s="358"/>
      <c r="LV247" s="358"/>
      <c r="LW247" s="358"/>
      <c r="LX247" s="358"/>
      <c r="LY247" s="358"/>
      <c r="LZ247" s="358"/>
      <c r="MA247" s="358"/>
      <c r="MB247" s="358"/>
      <c r="MC247" s="358"/>
      <c r="MD247" s="1656"/>
      <c r="ME247" s="1656"/>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1"/>
      <c r="NQ247" s="2480">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5">
        <v>9000</v>
      </c>
      <c r="G248" s="3496"/>
      <c r="H248" s="1"/>
      <c r="I248" s="72" t="s">
        <v>3806</v>
      </c>
      <c r="K248" s="1"/>
      <c r="L248" s="3503">
        <v>114000</v>
      </c>
      <c r="M248" s="3504"/>
      <c r="R248" s="661"/>
      <c r="S248" s="3453"/>
      <c r="T248" s="3454"/>
      <c r="U248" s="3454"/>
      <c r="V248" s="3454"/>
      <c r="W248" s="3455"/>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3"/>
      <c r="JX248" s="358"/>
      <c r="JY248" s="358"/>
      <c r="JZ248" s="358"/>
      <c r="KA248" s="358"/>
      <c r="KB248" s="1803"/>
      <c r="KC248" s="358"/>
      <c r="KD248" s="358"/>
      <c r="KE248" s="358"/>
      <c r="KF248" s="358"/>
      <c r="KG248" s="1803"/>
      <c r="KH248" s="358"/>
      <c r="KI248" s="358"/>
      <c r="KJ248" s="358"/>
      <c r="KK248" s="358"/>
      <c r="KL248" s="1803"/>
      <c r="KM248" s="1803"/>
      <c r="KN248" s="1803"/>
      <c r="KO248" s="1803"/>
      <c r="KP248" s="1803"/>
      <c r="KQ248" s="1803"/>
      <c r="KR248" s="1803"/>
      <c r="KS248" s="1803"/>
      <c r="KT248" s="1803"/>
      <c r="KU248" s="1803"/>
      <c r="KV248" s="1803"/>
      <c r="KW248" s="1803"/>
      <c r="KX248" s="1803"/>
      <c r="KY248" s="1803"/>
      <c r="KZ248" s="1803"/>
      <c r="LA248" s="1803"/>
      <c r="LB248" s="1803"/>
      <c r="LC248" s="1803"/>
      <c r="LD248" s="1803"/>
      <c r="LE248" s="1803"/>
      <c r="LF248" s="1803"/>
      <c r="LG248" s="1803"/>
      <c r="LH248" s="358"/>
      <c r="LI248" s="358"/>
      <c r="LJ248" s="358"/>
      <c r="LK248" s="358"/>
      <c r="LL248" s="358"/>
      <c r="LM248" s="358"/>
      <c r="LN248" s="1656"/>
      <c r="LO248" s="358"/>
      <c r="LP248" s="358"/>
      <c r="LQ248" s="358"/>
      <c r="LR248" s="358"/>
      <c r="LS248" s="358"/>
      <c r="LT248" s="358"/>
      <c r="LU248" s="358"/>
      <c r="LV248" s="358"/>
      <c r="LW248" s="358"/>
      <c r="LX248" s="358"/>
      <c r="LY248" s="358"/>
      <c r="LZ248" s="358"/>
      <c r="MA248" s="358"/>
      <c r="MB248" s="358"/>
      <c r="MC248" s="358"/>
      <c r="MD248" s="1656"/>
      <c r="ME248" s="1656"/>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1"/>
      <c r="NQ248" s="2480">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5">
        <v>12000</v>
      </c>
      <c r="G249" s="3496"/>
      <c r="H249" s="1"/>
      <c r="I249" s="1" t="s">
        <v>140</v>
      </c>
      <c r="K249" s="1"/>
      <c r="L249" s="3501">
        <v>84800</v>
      </c>
      <c r="M249" s="3502"/>
      <c r="R249" s="661"/>
      <c r="S249" s="3453"/>
      <c r="T249" s="3454"/>
      <c r="U249" s="3454"/>
      <c r="V249" s="3454"/>
      <c r="W249" s="3455"/>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3"/>
      <c r="JX249" s="358"/>
      <c r="JY249" s="358"/>
      <c r="JZ249" s="358"/>
      <c r="KA249" s="358"/>
      <c r="KB249" s="1803"/>
      <c r="KC249" s="358"/>
      <c r="KD249" s="358"/>
      <c r="KE249" s="358"/>
      <c r="KF249" s="358"/>
      <c r="KG249" s="1803"/>
      <c r="KH249" s="358"/>
      <c r="KI249" s="358"/>
      <c r="KJ249" s="358"/>
      <c r="KK249" s="358"/>
      <c r="KL249" s="1803"/>
      <c r="KM249" s="1803"/>
      <c r="KN249" s="1803"/>
      <c r="KO249" s="1803"/>
      <c r="KP249" s="1803"/>
      <c r="KQ249" s="1803"/>
      <c r="KR249" s="1803"/>
      <c r="KS249" s="1803"/>
      <c r="KT249" s="1803"/>
      <c r="KU249" s="1803"/>
      <c r="KV249" s="1803"/>
      <c r="KW249" s="1803"/>
      <c r="KX249" s="1803"/>
      <c r="KY249" s="1803"/>
      <c r="KZ249" s="1803"/>
      <c r="LA249" s="1803"/>
      <c r="LB249" s="1803"/>
      <c r="LC249" s="1803"/>
      <c r="LD249" s="1803"/>
      <c r="LE249" s="1803"/>
      <c r="LF249" s="1803"/>
      <c r="LG249" s="1803"/>
      <c r="LH249" s="358"/>
      <c r="LI249" s="358"/>
      <c r="LJ249" s="358"/>
      <c r="LK249" s="358"/>
      <c r="LL249" s="358"/>
      <c r="LM249" s="358"/>
      <c r="LN249" s="1656"/>
      <c r="LO249" s="358"/>
      <c r="LP249" s="358"/>
      <c r="LQ249" s="358"/>
      <c r="LR249" s="358"/>
      <c r="LS249" s="358"/>
      <c r="LT249" s="358"/>
      <c r="LU249" s="358"/>
      <c r="LV249" s="358"/>
      <c r="LW249" s="358"/>
      <c r="LX249" s="358"/>
      <c r="LY249" s="358"/>
      <c r="LZ249" s="358"/>
      <c r="MA249" s="358"/>
      <c r="MB249" s="358"/>
      <c r="MC249" s="358"/>
      <c r="MD249" s="1656"/>
      <c r="ME249" s="1656"/>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1"/>
      <c r="NQ249" s="2480">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2" t="s">
        <v>5155</v>
      </c>
      <c r="C250" s="3493"/>
      <c r="D250" s="3493"/>
      <c r="E250" s="3494"/>
      <c r="F250" s="3497">
        <v>6000</v>
      </c>
      <c r="G250" s="3498"/>
      <c r="H250" s="1"/>
      <c r="I250" s="3508" t="s">
        <v>46</v>
      </c>
      <c r="J250" s="3509"/>
      <c r="K250" s="3510"/>
      <c r="L250" s="3518"/>
      <c r="M250" s="3519"/>
      <c r="N250" s="1"/>
      <c r="R250" s="661"/>
      <c r="S250" s="3453"/>
      <c r="T250" s="3454"/>
      <c r="U250" s="3454"/>
      <c r="V250" s="3454"/>
      <c r="W250" s="3455"/>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3"/>
      <c r="JX250" s="358"/>
      <c r="JY250" s="358"/>
      <c r="JZ250" s="358"/>
      <c r="KA250" s="358"/>
      <c r="KB250" s="1803"/>
      <c r="KC250" s="358"/>
      <c r="KD250" s="358"/>
      <c r="KE250" s="358"/>
      <c r="KF250" s="358"/>
      <c r="KG250" s="1803"/>
      <c r="KH250" s="358"/>
      <c r="KI250" s="358"/>
      <c r="KJ250" s="358"/>
      <c r="KK250" s="358"/>
      <c r="KL250" s="1803"/>
      <c r="KM250" s="1803"/>
      <c r="KN250" s="1803"/>
      <c r="KO250" s="1803"/>
      <c r="KP250" s="1803"/>
      <c r="KQ250" s="1803"/>
      <c r="KR250" s="1803"/>
      <c r="KS250" s="1803"/>
      <c r="KT250" s="1803"/>
      <c r="KU250" s="1803"/>
      <c r="KV250" s="1803"/>
      <c r="KW250" s="1803"/>
      <c r="KX250" s="1803"/>
      <c r="KY250" s="1803"/>
      <c r="KZ250" s="1803"/>
      <c r="LA250" s="1803"/>
      <c r="LB250" s="1803"/>
      <c r="LC250" s="1803"/>
      <c r="LD250" s="1803"/>
      <c r="LE250" s="1803"/>
      <c r="LF250" s="1803"/>
      <c r="LG250" s="1803"/>
      <c r="LH250" s="358"/>
      <c r="LI250" s="358"/>
      <c r="LJ250" s="358"/>
      <c r="LK250" s="358"/>
      <c r="LL250" s="358"/>
      <c r="LM250" s="358"/>
      <c r="LN250" s="1656"/>
      <c r="LO250" s="358"/>
      <c r="LP250" s="358"/>
      <c r="LQ250" s="358"/>
      <c r="LR250" s="358"/>
      <c r="LS250" s="358"/>
      <c r="LT250" s="358"/>
      <c r="LU250" s="358"/>
      <c r="LV250" s="358"/>
      <c r="LW250" s="358"/>
      <c r="LX250" s="358"/>
      <c r="LY250" s="358"/>
      <c r="LZ250" s="358"/>
      <c r="MA250" s="358"/>
      <c r="MB250" s="358"/>
      <c r="MC250" s="358"/>
      <c r="MD250" s="1656"/>
      <c r="ME250" s="1656"/>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1" t="s">
        <v>4347</v>
      </c>
      <c r="NQ250" s="2480">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3">
        <f>SUM(F243:G250)</f>
        <v>80000</v>
      </c>
      <c r="G251" s="3564"/>
      <c r="H251" s="1"/>
      <c r="K251" s="8" t="s">
        <v>184</v>
      </c>
      <c r="L251" s="3511">
        <f>SUM(L247:L250)</f>
        <v>198800</v>
      </c>
      <c r="M251" s="3565"/>
      <c r="N251" s="1"/>
      <c r="O251" s="4" t="s">
        <v>2025</v>
      </c>
      <c r="P251" s="1"/>
      <c r="Q251" s="325">
        <f>Q232+Q238</f>
        <v>613835</v>
      </c>
      <c r="R251" s="661"/>
      <c r="S251" s="3466"/>
      <c r="T251" s="3467"/>
      <c r="U251" s="3467"/>
      <c r="V251" s="3467"/>
      <c r="W251" s="3468"/>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3"/>
      <c r="JX251" s="358"/>
      <c r="JY251" s="358"/>
      <c r="JZ251" s="358"/>
      <c r="KA251" s="358"/>
      <c r="KB251" s="1803"/>
      <c r="KC251" s="358"/>
      <c r="KD251" s="358"/>
      <c r="KE251" s="358"/>
      <c r="KF251" s="358"/>
      <c r="KG251" s="1803"/>
      <c r="KH251" s="358"/>
      <c r="KI251" s="358"/>
      <c r="KJ251" s="358"/>
      <c r="KK251" s="358"/>
      <c r="KL251" s="1803"/>
      <c r="KM251" s="1803"/>
      <c r="KN251" s="1803"/>
      <c r="KO251" s="1803"/>
      <c r="KP251" s="1803"/>
      <c r="KQ251" s="1803"/>
      <c r="KR251" s="1803"/>
      <c r="KS251" s="1803"/>
      <c r="KT251" s="1803"/>
      <c r="KU251" s="1803"/>
      <c r="KV251" s="1803"/>
      <c r="KW251" s="1803"/>
      <c r="KX251" s="1803"/>
      <c r="KY251" s="1803"/>
      <c r="KZ251" s="1803"/>
      <c r="LA251" s="1803"/>
      <c r="LB251" s="1803"/>
      <c r="LC251" s="1803"/>
      <c r="LD251" s="1803"/>
      <c r="LE251" s="1803"/>
      <c r="LF251" s="1803"/>
      <c r="LG251" s="1803"/>
      <c r="LH251" s="358"/>
      <c r="LI251" s="358"/>
      <c r="LJ251" s="358"/>
      <c r="LK251" s="358"/>
      <c r="LL251" s="358"/>
      <c r="LM251" s="358"/>
      <c r="LN251" s="1656"/>
      <c r="LO251" s="358"/>
      <c r="LP251" s="358"/>
      <c r="LQ251" s="358"/>
      <c r="LR251" s="358"/>
      <c r="LS251" s="358"/>
      <c r="LT251" s="358"/>
      <c r="LU251" s="358"/>
      <c r="LV251" s="358"/>
      <c r="LW251" s="358"/>
      <c r="LX251" s="358"/>
      <c r="LY251" s="358"/>
      <c r="LZ251" s="358"/>
      <c r="MA251" s="358"/>
      <c r="MB251" s="358"/>
      <c r="MC251" s="358"/>
      <c r="MD251" s="1656"/>
      <c r="ME251" s="1656"/>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1"/>
      <c r="NQ251" s="2481">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3"/>
      <c r="JX252" s="358"/>
      <c r="JY252" s="358"/>
      <c r="JZ252" s="358"/>
      <c r="KA252" s="358"/>
      <c r="KB252" s="1803"/>
      <c r="KC252" s="358"/>
      <c r="KD252" s="358"/>
      <c r="KE252" s="358"/>
      <c r="KF252" s="358"/>
      <c r="KG252" s="1803"/>
      <c r="KH252" s="358"/>
      <c r="KI252" s="358"/>
      <c r="KJ252" s="358"/>
      <c r="KK252" s="358"/>
      <c r="KL252" s="1803"/>
      <c r="KM252" s="1803"/>
      <c r="KN252" s="1803"/>
      <c r="KO252" s="1803"/>
      <c r="KP252" s="1803"/>
      <c r="KQ252" s="1803"/>
      <c r="KR252" s="1803"/>
      <c r="KS252" s="1803"/>
      <c r="KT252" s="1803"/>
      <c r="KU252" s="1803"/>
      <c r="KV252" s="1803"/>
      <c r="KW252" s="1803"/>
      <c r="KX252" s="1803"/>
      <c r="KY252" s="1803"/>
      <c r="KZ252" s="1803"/>
      <c r="LA252" s="1803"/>
      <c r="LB252" s="1803"/>
      <c r="LC252" s="1803"/>
      <c r="LD252" s="1803"/>
      <c r="LE252" s="1803"/>
      <c r="LF252" s="1803"/>
      <c r="LG252" s="1803"/>
      <c r="LH252" s="358"/>
      <c r="LI252" s="358"/>
      <c r="LJ252" s="358"/>
      <c r="LK252" s="358"/>
      <c r="LL252" s="358"/>
      <c r="LM252" s="358"/>
      <c r="LN252" s="1656"/>
      <c r="LO252" s="358"/>
      <c r="LP252" s="358"/>
      <c r="LQ252" s="358"/>
      <c r="LR252" s="358"/>
      <c r="LS252" s="358"/>
      <c r="LT252" s="358"/>
      <c r="LU252" s="358"/>
      <c r="LV252" s="358"/>
      <c r="LW252" s="358"/>
      <c r="LX252" s="358"/>
      <c r="LY252" s="358"/>
      <c r="LZ252" s="358"/>
      <c r="MA252" s="358"/>
      <c r="MB252" s="358"/>
      <c r="MC252" s="358"/>
      <c r="MD252" s="1656"/>
      <c r="ME252" s="1656"/>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1"/>
      <c r="NQ252" s="2480">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3"/>
      <c r="JX253" s="358"/>
      <c r="JY253" s="358"/>
      <c r="JZ253" s="358"/>
      <c r="KA253" s="358"/>
      <c r="KB253" s="1803"/>
      <c r="KC253" s="358"/>
      <c r="KD253" s="358"/>
      <c r="KE253" s="358"/>
      <c r="KF253" s="358"/>
      <c r="KG253" s="1803"/>
      <c r="KH253" s="358"/>
      <c r="KI253" s="358"/>
      <c r="KJ253" s="358"/>
      <c r="KK253" s="358"/>
      <c r="KL253" s="1803"/>
      <c r="KM253" s="1803"/>
      <c r="KN253" s="1803"/>
      <c r="KO253" s="1803"/>
      <c r="KP253" s="1803"/>
      <c r="KQ253" s="1803"/>
      <c r="KR253" s="1803"/>
      <c r="KS253" s="1803"/>
      <c r="KT253" s="1803"/>
      <c r="KU253" s="1803"/>
      <c r="KV253" s="1803"/>
      <c r="KW253" s="1803"/>
      <c r="KX253" s="1803"/>
      <c r="KY253" s="1803"/>
      <c r="KZ253" s="1803"/>
      <c r="LA253" s="1803"/>
      <c r="LB253" s="1803"/>
      <c r="LC253" s="1803"/>
      <c r="LD253" s="1803"/>
      <c r="LE253" s="1803"/>
      <c r="LF253" s="1803"/>
      <c r="LG253" s="1803"/>
      <c r="LH253" s="358"/>
      <c r="LI253" s="358"/>
      <c r="LJ253" s="358"/>
      <c r="LK253" s="358"/>
      <c r="LL253" s="358"/>
      <c r="LM253" s="358"/>
      <c r="LN253" s="1656"/>
      <c r="LO253" s="358"/>
      <c r="LP253" s="358"/>
      <c r="LQ253" s="358"/>
      <c r="LR253" s="358"/>
      <c r="LS253" s="358"/>
      <c r="LT253" s="358"/>
      <c r="LU253" s="358"/>
      <c r="LV253" s="358"/>
      <c r="LW253" s="358"/>
      <c r="LX253" s="358"/>
      <c r="LY253" s="358"/>
      <c r="LZ253" s="358"/>
      <c r="MA253" s="358"/>
      <c r="MB253" s="358"/>
      <c r="MC253" s="358"/>
      <c r="MD253" s="1656"/>
      <c r="ME253" s="1656"/>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1"/>
      <c r="NQ253" s="2478">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3"/>
      <c r="JX254" s="358"/>
      <c r="JY254" s="358"/>
      <c r="JZ254" s="358"/>
      <c r="KA254" s="358"/>
      <c r="KB254" s="1803"/>
      <c r="KC254" s="358"/>
      <c r="KD254" s="358"/>
      <c r="KE254" s="358"/>
      <c r="KF254" s="358"/>
      <c r="KG254" s="1803"/>
      <c r="KH254" s="358"/>
      <c r="KI254" s="358"/>
      <c r="KJ254" s="358"/>
      <c r="KK254" s="358"/>
      <c r="KL254" s="1803"/>
      <c r="KM254" s="1803"/>
      <c r="KN254" s="1803"/>
      <c r="KO254" s="1803"/>
      <c r="KP254" s="1803"/>
      <c r="KQ254" s="1803"/>
      <c r="KR254" s="1803"/>
      <c r="KS254" s="1803"/>
      <c r="KT254" s="1803"/>
      <c r="KU254" s="1803"/>
      <c r="KV254" s="1803"/>
      <c r="KW254" s="1803"/>
      <c r="KX254" s="1803"/>
      <c r="KY254" s="1803"/>
      <c r="KZ254" s="1803"/>
      <c r="LA254" s="1803"/>
      <c r="LB254" s="1803"/>
      <c r="LC254" s="1803"/>
      <c r="LD254" s="1803"/>
      <c r="LE254" s="1803"/>
      <c r="LF254" s="1803"/>
      <c r="LG254" s="1803"/>
      <c r="LH254" s="358"/>
      <c r="LI254" s="358"/>
      <c r="LJ254" s="358"/>
      <c r="LK254" s="358"/>
      <c r="LL254" s="358"/>
      <c r="LM254" s="358"/>
      <c r="LN254" s="1656"/>
      <c r="LO254" s="358"/>
      <c r="LP254" s="358"/>
      <c r="LQ254" s="358"/>
      <c r="LR254" s="358"/>
      <c r="LS254" s="358"/>
      <c r="LT254" s="358"/>
      <c r="LU254" s="358"/>
      <c r="LV254" s="358"/>
      <c r="LW254" s="358"/>
      <c r="LX254" s="358"/>
      <c r="LY254" s="358"/>
      <c r="LZ254" s="358"/>
      <c r="MA254" s="358"/>
      <c r="MB254" s="358"/>
      <c r="MC254" s="358"/>
      <c r="MD254" s="1656"/>
      <c r="ME254" s="1656"/>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1"/>
      <c r="NQ254" s="2480">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3288</v>
      </c>
      <c r="B255" s="4" t="s">
        <v>3750</v>
      </c>
      <c r="C255" s="8"/>
      <c r="D255" s="1"/>
      <c r="E255" s="1"/>
      <c r="H255" s="9"/>
      <c r="I255" s="1162" t="s">
        <v>3751</v>
      </c>
      <c r="K255" s="3566"/>
      <c r="L255" s="3567"/>
      <c r="M255" s="1221" t="s">
        <v>3778</v>
      </c>
      <c r="N255" s="1163"/>
      <c r="O255" s="4" t="s">
        <v>3753</v>
      </c>
      <c r="P255" s="1"/>
      <c r="Q255" s="1183">
        <f>K255*N255</f>
        <v>0</v>
      </c>
      <c r="R255" s="659"/>
      <c r="S255" s="3558"/>
      <c r="T255" s="3559"/>
      <c r="U255" s="3559"/>
      <c r="V255" s="3559"/>
      <c r="W255" s="3560"/>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3"/>
      <c r="JX255" s="358"/>
      <c r="JY255" s="358"/>
      <c r="JZ255" s="358"/>
      <c r="KA255" s="358"/>
      <c r="KB255" s="1803"/>
      <c r="KC255" s="358"/>
      <c r="KD255" s="358"/>
      <c r="KE255" s="358"/>
      <c r="KF255" s="358"/>
      <c r="KG255" s="1803"/>
      <c r="KH255" s="358"/>
      <c r="KI255" s="358"/>
      <c r="KJ255" s="358"/>
      <c r="KK255" s="358"/>
      <c r="KL255" s="1803"/>
      <c r="KM255" s="1803"/>
      <c r="KN255" s="1803"/>
      <c r="KO255" s="1803"/>
      <c r="KP255" s="1803"/>
      <c r="KQ255" s="1803"/>
      <c r="KR255" s="1803"/>
      <c r="KS255" s="1803"/>
      <c r="KT255" s="1803"/>
      <c r="KU255" s="1803"/>
      <c r="KV255" s="1803"/>
      <c r="KW255" s="1803"/>
      <c r="KX255" s="1803"/>
      <c r="KY255" s="1803"/>
      <c r="KZ255" s="1803"/>
      <c r="LA255" s="1803"/>
      <c r="LB255" s="1803"/>
      <c r="LC255" s="1803"/>
      <c r="LD255" s="1803"/>
      <c r="LE255" s="1803"/>
      <c r="LF255" s="1803"/>
      <c r="LG255" s="1803"/>
      <c r="LH255" s="358"/>
      <c r="LI255" s="358"/>
      <c r="LJ255" s="358"/>
      <c r="LK255" s="358"/>
      <c r="LL255" s="358"/>
      <c r="LM255" s="358"/>
      <c r="LN255" s="1656"/>
      <c r="LO255" s="358"/>
      <c r="LP255" s="358"/>
      <c r="LQ255" s="358"/>
      <c r="LR255" s="358"/>
      <c r="LS255" s="358"/>
      <c r="LT255" s="358"/>
      <c r="LU255" s="358"/>
      <c r="LV255" s="358"/>
      <c r="LW255" s="358"/>
      <c r="LX255" s="358"/>
      <c r="LY255" s="358"/>
      <c r="LZ255" s="358"/>
      <c r="MA255" s="358"/>
      <c r="MB255" s="358"/>
      <c r="MC255" s="358"/>
      <c r="MD255" s="1656"/>
      <c r="ME255" s="1656"/>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1"/>
      <c r="NQ255" s="2480">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3"/>
      <c r="JX256" s="358"/>
      <c r="JY256" s="358"/>
      <c r="JZ256" s="358"/>
      <c r="KA256" s="358"/>
      <c r="KB256" s="1803"/>
      <c r="KC256" s="358"/>
      <c r="KD256" s="358"/>
      <c r="KE256" s="358"/>
      <c r="KF256" s="358"/>
      <c r="KG256" s="1803"/>
      <c r="KH256" s="358"/>
      <c r="KI256" s="358"/>
      <c r="KJ256" s="358"/>
      <c r="KK256" s="358"/>
      <c r="KL256" s="1803"/>
      <c r="KM256" s="1803"/>
      <c r="KN256" s="1803"/>
      <c r="KO256" s="1803"/>
      <c r="KP256" s="1803"/>
      <c r="KQ256" s="1803"/>
      <c r="KR256" s="1803"/>
      <c r="KS256" s="1803"/>
      <c r="KT256" s="1803"/>
      <c r="KU256" s="1803"/>
      <c r="KV256" s="1803"/>
      <c r="KW256" s="1803"/>
      <c r="KX256" s="1803"/>
      <c r="KY256" s="1803"/>
      <c r="KZ256" s="1803"/>
      <c r="LA256" s="1803"/>
      <c r="LB256" s="1803"/>
      <c r="LC256" s="1803"/>
      <c r="LD256" s="1803"/>
      <c r="LE256" s="1803"/>
      <c r="LF256" s="1803"/>
      <c r="LG256" s="1803"/>
      <c r="LH256" s="358"/>
      <c r="LI256" s="358"/>
      <c r="LJ256" s="358"/>
      <c r="LK256" s="358"/>
      <c r="LL256" s="358"/>
      <c r="LM256" s="358"/>
      <c r="LN256" s="1656"/>
      <c r="LO256" s="358"/>
      <c r="LP256" s="358"/>
      <c r="LQ256" s="358"/>
      <c r="LR256" s="358"/>
      <c r="LS256" s="358"/>
      <c r="LT256" s="358"/>
      <c r="LU256" s="358"/>
      <c r="LV256" s="358"/>
      <c r="LW256" s="358"/>
      <c r="LX256" s="358"/>
      <c r="LY256" s="358"/>
      <c r="LZ256" s="358"/>
      <c r="MA256" s="358"/>
      <c r="MB256" s="358"/>
      <c r="MC256" s="358"/>
      <c r="MD256" s="1656"/>
      <c r="ME256" s="1656"/>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1"/>
      <c r="NQ256" s="2478">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3779</v>
      </c>
      <c r="C257" s="8"/>
      <c r="D257" s="1"/>
      <c r="E257" s="1"/>
      <c r="F257" s="9"/>
      <c r="G257" s="9"/>
      <c r="H257" s="1"/>
      <c r="I257" s="1"/>
      <c r="J257" s="1202" t="s">
        <v>1641</v>
      </c>
      <c r="K257" s="1162" t="s">
        <v>3781</v>
      </c>
      <c r="L257" s="1202" t="s">
        <v>1641</v>
      </c>
      <c r="M257" s="53" t="s">
        <v>3782</v>
      </c>
      <c r="N257" s="1163"/>
      <c r="O257" s="72" t="s">
        <v>3780</v>
      </c>
      <c r="P257" s="1"/>
      <c r="Q257" s="1222"/>
      <c r="R257" s="659"/>
      <c r="S257" s="3558"/>
      <c r="T257" s="3559"/>
      <c r="U257" s="3559"/>
      <c r="V257" s="3559"/>
      <c r="W257" s="3560"/>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3"/>
      <c r="JX257" s="358"/>
      <c r="JY257" s="358"/>
      <c r="JZ257" s="358"/>
      <c r="KA257" s="358"/>
      <c r="KB257" s="1803"/>
      <c r="KC257" s="358"/>
      <c r="KD257" s="358"/>
      <c r="KE257" s="358"/>
      <c r="KF257" s="358"/>
      <c r="KG257" s="1803"/>
      <c r="KH257" s="358"/>
      <c r="KI257" s="358"/>
      <c r="KJ257" s="358"/>
      <c r="KK257" s="358"/>
      <c r="KL257" s="1803"/>
      <c r="KM257" s="1803"/>
      <c r="KN257" s="1803"/>
      <c r="KO257" s="1803"/>
      <c r="KP257" s="1803"/>
      <c r="KQ257" s="1803"/>
      <c r="KR257" s="1803"/>
      <c r="KS257" s="1803"/>
      <c r="KT257" s="1803"/>
      <c r="KU257" s="1803"/>
      <c r="KV257" s="1803"/>
      <c r="KW257" s="1803"/>
      <c r="KX257" s="1803"/>
      <c r="KY257" s="1803"/>
      <c r="KZ257" s="1803"/>
      <c r="LA257" s="1803"/>
      <c r="LB257" s="1803"/>
      <c r="LC257" s="1803"/>
      <c r="LD257" s="1803"/>
      <c r="LE257" s="1803"/>
      <c r="LF257" s="1803"/>
      <c r="LG257" s="1803"/>
      <c r="LH257" s="358"/>
      <c r="LI257" s="358"/>
      <c r="LJ257" s="358"/>
      <c r="LK257" s="358"/>
      <c r="LL257" s="358"/>
      <c r="LM257" s="358"/>
      <c r="LN257" s="1656"/>
      <c r="LO257" s="358"/>
      <c r="LP257" s="358"/>
      <c r="LQ257" s="358"/>
      <c r="LR257" s="358"/>
      <c r="LS257" s="358"/>
      <c r="LT257" s="358"/>
      <c r="LU257" s="358"/>
      <c r="LV257" s="358"/>
      <c r="LW257" s="358"/>
      <c r="LX257" s="358"/>
      <c r="LY257" s="358"/>
      <c r="LZ257" s="358"/>
      <c r="MA257" s="358"/>
      <c r="MB257" s="358"/>
      <c r="MC257" s="358"/>
      <c r="MD257" s="1656"/>
      <c r="ME257" s="1656"/>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1" t="s">
        <v>4348</v>
      </c>
      <c r="NQ257" s="2480">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3"/>
      <c r="JX258" s="358"/>
      <c r="JY258" s="358"/>
      <c r="JZ258" s="358"/>
      <c r="KA258" s="358"/>
      <c r="KB258" s="1803"/>
      <c r="KC258" s="358"/>
      <c r="KD258" s="358"/>
      <c r="KE258" s="358"/>
      <c r="KF258" s="358"/>
      <c r="KG258" s="1803"/>
      <c r="KH258" s="358"/>
      <c r="KI258" s="358"/>
      <c r="KJ258" s="358"/>
      <c r="KK258" s="358"/>
      <c r="KL258" s="1803"/>
      <c r="KM258" s="1803"/>
      <c r="KN258" s="1803"/>
      <c r="KO258" s="1803"/>
      <c r="KP258" s="1803"/>
      <c r="KQ258" s="1803"/>
      <c r="KR258" s="1803"/>
      <c r="KS258" s="1803"/>
      <c r="KT258" s="1803"/>
      <c r="KU258" s="1803"/>
      <c r="KV258" s="1803"/>
      <c r="KW258" s="1803"/>
      <c r="KX258" s="1803"/>
      <c r="KY258" s="1803"/>
      <c r="KZ258" s="1803"/>
      <c r="LA258" s="1803"/>
      <c r="LB258" s="1803"/>
      <c r="LC258" s="1803"/>
      <c r="LD258" s="1803"/>
      <c r="LE258" s="1803"/>
      <c r="LF258" s="1803"/>
      <c r="LG258" s="1803"/>
      <c r="LH258" s="358"/>
      <c r="LI258" s="358"/>
      <c r="LJ258" s="358"/>
      <c r="LK258" s="358"/>
      <c r="LL258" s="358"/>
      <c r="LM258" s="358"/>
      <c r="LN258" s="1656"/>
      <c r="LO258" s="358"/>
      <c r="LP258" s="358"/>
      <c r="LQ258" s="358"/>
      <c r="LR258" s="358"/>
      <c r="LS258" s="358"/>
      <c r="LT258" s="358"/>
      <c r="LU258" s="358"/>
      <c r="LV258" s="358"/>
      <c r="LW258" s="358"/>
      <c r="LX258" s="358"/>
      <c r="LY258" s="358"/>
      <c r="LZ258" s="358"/>
      <c r="MA258" s="358"/>
      <c r="MB258" s="358"/>
      <c r="MC258" s="358"/>
      <c r="MD258" s="1656"/>
      <c r="ME258" s="1656"/>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1"/>
      <c r="NQ258" s="2480">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3749</v>
      </c>
      <c r="B259" s="10" t="s">
        <v>529</v>
      </c>
      <c r="N259" s="10" t="s">
        <v>4544</v>
      </c>
      <c r="O259" s="10"/>
      <c r="NP259" s="1631"/>
      <c r="NQ259" s="2480">
        <v>259</v>
      </c>
    </row>
    <row r="260" spans="1:493" ht="409.5" customHeight="1">
      <c r="A260" s="3561" t="s">
        <v>3145</v>
      </c>
      <c r="B260" s="3561"/>
      <c r="C260" s="3561"/>
      <c r="D260" s="3561"/>
      <c r="E260" s="3561"/>
      <c r="F260" s="3561"/>
      <c r="G260" s="3561"/>
      <c r="H260" s="3561"/>
      <c r="I260" s="3561"/>
      <c r="J260" s="3561"/>
      <c r="K260" s="3561"/>
      <c r="L260" s="3561"/>
      <c r="M260" s="3561"/>
      <c r="N260" s="3562"/>
      <c r="O260" s="3562"/>
      <c r="P260" s="3562"/>
      <c r="Q260" s="3562"/>
      <c r="R260" s="2947" t="s">
        <v>3287</v>
      </c>
      <c r="S260" s="2908"/>
      <c r="T260" s="2908"/>
      <c r="U260" s="2908"/>
      <c r="NP260" s="1631"/>
      <c r="NQ260" s="2478">
        <v>260</v>
      </c>
    </row>
    <row r="261" spans="1:493" ht="11.25" customHeight="1">
      <c r="NP261" s="1631"/>
    </row>
    <row r="262" spans="1:493" ht="12" customHeight="1">
      <c r="NP262" s="1631"/>
    </row>
    <row r="263" spans="1:493" ht="12" customHeight="1">
      <c r="NP263" s="1631"/>
    </row>
    <row r="264" spans="1:493" ht="14.1" customHeight="1">
      <c r="NP264" s="1631"/>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3"/>
      <c r="JX265" s="358"/>
      <c r="JY265" s="358"/>
      <c r="JZ265" s="358"/>
      <c r="KA265" s="358"/>
      <c r="KB265" s="1803"/>
      <c r="KC265" s="358"/>
      <c r="KD265" s="358"/>
      <c r="KE265" s="358"/>
      <c r="KF265" s="358"/>
      <c r="KG265" s="1803"/>
      <c r="KH265" s="358"/>
      <c r="KI265" s="358"/>
      <c r="KJ265" s="358"/>
      <c r="KK265" s="358"/>
      <c r="KL265" s="1803"/>
      <c r="KM265" s="1803"/>
      <c r="KN265" s="1803"/>
      <c r="KO265" s="1803"/>
      <c r="KP265" s="1803"/>
      <c r="KQ265" s="1803"/>
      <c r="KR265" s="1803"/>
      <c r="KS265" s="1803"/>
      <c r="KT265" s="1803"/>
      <c r="KU265" s="1803"/>
      <c r="KV265" s="1803"/>
      <c r="KW265" s="1803"/>
      <c r="KX265" s="1803"/>
      <c r="KY265" s="1803"/>
      <c r="KZ265" s="1803"/>
      <c r="LA265" s="1803"/>
      <c r="LB265" s="1803"/>
      <c r="LC265" s="1803"/>
      <c r="LD265" s="1803"/>
      <c r="LE265" s="1803"/>
      <c r="LF265" s="1803"/>
      <c r="LG265" s="1803"/>
      <c r="LH265" s="358"/>
      <c r="LI265" s="358"/>
      <c r="LJ265" s="358"/>
      <c r="LK265" s="358"/>
      <c r="LL265" s="358"/>
      <c r="LM265" s="358"/>
      <c r="LN265" s="1656"/>
      <c r="LO265" s="358"/>
      <c r="LP265" s="358"/>
      <c r="LQ265" s="358"/>
      <c r="LR265" s="358"/>
      <c r="LS265" s="358"/>
      <c r="LT265" s="358"/>
      <c r="LU265" s="358"/>
      <c r="LV265" s="358"/>
      <c r="LW265" s="358"/>
      <c r="LX265" s="358"/>
      <c r="LY265" s="358"/>
      <c r="LZ265" s="358"/>
      <c r="MA265" s="358"/>
      <c r="MB265" s="358"/>
      <c r="MC265" s="358"/>
      <c r="MD265" s="1656"/>
      <c r="ME265" s="1656"/>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0"/>
      <c r="NQ265" s="2480"/>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3"/>
      <c r="JX266" s="358"/>
      <c r="JY266" s="358"/>
      <c r="JZ266" s="358"/>
      <c r="KA266" s="358"/>
      <c r="KB266" s="1803"/>
      <c r="KC266" s="358"/>
      <c r="KD266" s="358"/>
      <c r="KE266" s="358"/>
      <c r="KF266" s="358"/>
      <c r="KG266" s="1803"/>
      <c r="KH266" s="358"/>
      <c r="KI266" s="358"/>
      <c r="KJ266" s="358"/>
      <c r="KK266" s="358"/>
      <c r="KL266" s="1803"/>
      <c r="KM266" s="1803"/>
      <c r="KN266" s="1803"/>
      <c r="KO266" s="1803"/>
      <c r="KP266" s="1803"/>
      <c r="KQ266" s="1803"/>
      <c r="KR266" s="1803"/>
      <c r="KS266" s="1803"/>
      <c r="KT266" s="1803"/>
      <c r="KU266" s="1803"/>
      <c r="KV266" s="1803"/>
      <c r="KW266" s="1803"/>
      <c r="KX266" s="1803"/>
      <c r="KY266" s="1803"/>
      <c r="KZ266" s="1803"/>
      <c r="LA266" s="1803"/>
      <c r="LB266" s="1803"/>
      <c r="LC266" s="1803"/>
      <c r="LD266" s="1803"/>
      <c r="LE266" s="1803"/>
      <c r="LF266" s="1803"/>
      <c r="LG266" s="1803"/>
      <c r="LH266" s="358"/>
      <c r="LI266" s="358"/>
      <c r="LJ266" s="358"/>
      <c r="LK266" s="358"/>
      <c r="LL266" s="358"/>
      <c r="LM266" s="358"/>
      <c r="LN266" s="1656"/>
      <c r="LO266" s="358"/>
      <c r="LP266" s="358"/>
      <c r="LQ266" s="358"/>
      <c r="LR266" s="358"/>
      <c r="LS266" s="358"/>
      <c r="LT266" s="358"/>
      <c r="LU266" s="358"/>
      <c r="LV266" s="358"/>
      <c r="LW266" s="358"/>
      <c r="LX266" s="358"/>
      <c r="LY266" s="358"/>
      <c r="LZ266" s="358"/>
      <c r="MA266" s="358"/>
      <c r="MB266" s="358"/>
      <c r="MC266" s="358"/>
      <c r="MD266" s="1656"/>
      <c r="ME266" s="1656"/>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0"/>
      <c r="NQ266" s="2480"/>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3"/>
      <c r="JX267" s="358"/>
      <c r="JY267" s="358"/>
      <c r="JZ267" s="358"/>
      <c r="KA267" s="358"/>
      <c r="KB267" s="1803"/>
      <c r="KC267" s="358"/>
      <c r="KD267" s="358"/>
      <c r="KE267" s="358"/>
      <c r="KF267" s="358"/>
      <c r="KG267" s="1803"/>
      <c r="KH267" s="358"/>
      <c r="KI267" s="358"/>
      <c r="KJ267" s="358"/>
      <c r="KK267" s="358"/>
      <c r="KL267" s="1803"/>
      <c r="KM267" s="1803"/>
      <c r="KN267" s="1803"/>
      <c r="KO267" s="1803"/>
      <c r="KP267" s="1803"/>
      <c r="KQ267" s="1803"/>
      <c r="KR267" s="1803"/>
      <c r="KS267" s="1803"/>
      <c r="KT267" s="1803"/>
      <c r="KU267" s="1803"/>
      <c r="KV267" s="1803"/>
      <c r="KW267" s="1803"/>
      <c r="KX267" s="1803"/>
      <c r="KY267" s="1803"/>
      <c r="KZ267" s="1803"/>
      <c r="LA267" s="1803"/>
      <c r="LB267" s="1803"/>
      <c r="LC267" s="1803"/>
      <c r="LD267" s="1803"/>
      <c r="LE267" s="1803"/>
      <c r="LF267" s="1803"/>
      <c r="LG267" s="1803"/>
      <c r="LH267" s="358"/>
      <c r="LI267" s="358"/>
      <c r="LJ267" s="358"/>
      <c r="LK267" s="358"/>
      <c r="LL267" s="358"/>
      <c r="LM267" s="358"/>
      <c r="LN267" s="1656"/>
      <c r="LO267" s="358"/>
      <c r="LP267" s="358"/>
      <c r="LQ267" s="358"/>
      <c r="LR267" s="358"/>
      <c r="LS267" s="358"/>
      <c r="LT267" s="358"/>
      <c r="LU267" s="358"/>
      <c r="LV267" s="358"/>
      <c r="LW267" s="358"/>
      <c r="LX267" s="358"/>
      <c r="LY267" s="358"/>
      <c r="LZ267" s="358"/>
      <c r="MA267" s="358"/>
      <c r="MB267" s="358"/>
      <c r="MC267" s="358"/>
      <c r="MD267" s="1656"/>
      <c r="ME267" s="1656"/>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0"/>
      <c r="NQ267" s="2480"/>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3"/>
      <c r="JX268" s="358"/>
      <c r="JY268" s="358"/>
      <c r="JZ268" s="358"/>
      <c r="KA268" s="358"/>
      <c r="KB268" s="1803"/>
      <c r="KC268" s="358"/>
      <c r="KD268" s="358"/>
      <c r="KE268" s="358"/>
      <c r="KF268" s="358"/>
      <c r="KG268" s="1803"/>
      <c r="KH268" s="358"/>
      <c r="KI268" s="358"/>
      <c r="KJ268" s="358"/>
      <c r="KK268" s="358"/>
      <c r="KL268" s="1803"/>
      <c r="KM268" s="1803"/>
      <c r="KN268" s="1803"/>
      <c r="KO268" s="1803"/>
      <c r="KP268" s="1803"/>
      <c r="KQ268" s="1803"/>
      <c r="KR268" s="1803"/>
      <c r="KS268" s="1803"/>
      <c r="KT268" s="1803"/>
      <c r="KU268" s="1803"/>
      <c r="KV268" s="1803"/>
      <c r="KW268" s="1803"/>
      <c r="KX268" s="1803"/>
      <c r="KY268" s="1803"/>
      <c r="KZ268" s="1803"/>
      <c r="LA268" s="1803"/>
      <c r="LB268" s="1803"/>
      <c r="LC268" s="1803"/>
      <c r="LD268" s="1803"/>
      <c r="LE268" s="1803"/>
      <c r="LF268" s="1803"/>
      <c r="LG268" s="1803"/>
      <c r="LH268" s="358"/>
      <c r="LI268" s="358"/>
      <c r="LJ268" s="358"/>
      <c r="LK268" s="358"/>
      <c r="LL268" s="358"/>
      <c r="LM268" s="358"/>
      <c r="LN268" s="1656"/>
      <c r="LO268" s="358"/>
      <c r="LP268" s="358"/>
      <c r="LQ268" s="358"/>
      <c r="LR268" s="358"/>
      <c r="LS268" s="358"/>
      <c r="LT268" s="358"/>
      <c r="LU268" s="358"/>
      <c r="LV268" s="358"/>
      <c r="LW268" s="358"/>
      <c r="LX268" s="358"/>
      <c r="LY268" s="358"/>
      <c r="LZ268" s="358"/>
      <c r="MA268" s="358"/>
      <c r="MB268" s="358"/>
      <c r="MC268" s="358"/>
      <c r="MD268" s="1656"/>
      <c r="ME268" s="1656"/>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0"/>
      <c r="NQ268" s="2480"/>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3"/>
      <c r="JX269" s="358"/>
      <c r="JY269" s="358"/>
      <c r="JZ269" s="358"/>
      <c r="KA269" s="358"/>
      <c r="KB269" s="1803"/>
      <c r="KC269" s="358"/>
      <c r="KD269" s="358"/>
      <c r="KE269" s="358"/>
      <c r="KF269" s="358"/>
      <c r="KG269" s="1803"/>
      <c r="KH269" s="358"/>
      <c r="KI269" s="358"/>
      <c r="KJ269" s="358"/>
      <c r="KK269" s="358"/>
      <c r="KL269" s="1803"/>
      <c r="KM269" s="1803"/>
      <c r="KN269" s="1803"/>
      <c r="KO269" s="1803"/>
      <c r="KP269" s="1803"/>
      <c r="KQ269" s="1803"/>
      <c r="KR269" s="1803"/>
      <c r="KS269" s="1803"/>
      <c r="KT269" s="1803"/>
      <c r="KU269" s="1803"/>
      <c r="KV269" s="1803"/>
      <c r="KW269" s="1803"/>
      <c r="KX269" s="1803"/>
      <c r="KY269" s="1803"/>
      <c r="KZ269" s="1803"/>
      <c r="LA269" s="1803"/>
      <c r="LB269" s="1803"/>
      <c r="LC269" s="1803"/>
      <c r="LD269" s="1803"/>
      <c r="LE269" s="1803"/>
      <c r="LF269" s="1803"/>
      <c r="LG269" s="1803"/>
      <c r="LH269" s="358"/>
      <c r="LI269" s="358"/>
      <c r="LJ269" s="358"/>
      <c r="LK269" s="358"/>
      <c r="LL269" s="358"/>
      <c r="LM269" s="358"/>
      <c r="LN269" s="1656"/>
      <c r="LO269" s="358"/>
      <c r="LP269" s="358"/>
      <c r="LQ269" s="358"/>
      <c r="LR269" s="358"/>
      <c r="LS269" s="358"/>
      <c r="LT269" s="358"/>
      <c r="LU269" s="358"/>
      <c r="LV269" s="358"/>
      <c r="LW269" s="358"/>
      <c r="LX269" s="358"/>
      <c r="LY269" s="358"/>
      <c r="LZ269" s="358"/>
      <c r="MA269" s="358"/>
      <c r="MB269" s="358"/>
      <c r="MC269" s="358"/>
      <c r="MD269" s="1656"/>
      <c r="ME269" s="1656"/>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0"/>
      <c r="NQ269" s="2480"/>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3"/>
      <c r="JX270" s="358"/>
      <c r="JY270" s="358"/>
      <c r="JZ270" s="358"/>
      <c r="KA270" s="358"/>
      <c r="KB270" s="1803"/>
      <c r="KC270" s="358"/>
      <c r="KD270" s="358"/>
      <c r="KE270" s="358"/>
      <c r="KF270" s="358"/>
      <c r="KG270" s="1803"/>
      <c r="KH270" s="358"/>
      <c r="KI270" s="358"/>
      <c r="KJ270" s="358"/>
      <c r="KK270" s="358"/>
      <c r="KL270" s="1803"/>
      <c r="KM270" s="1803"/>
      <c r="KN270" s="1803"/>
      <c r="KO270" s="1803"/>
      <c r="KP270" s="1803"/>
      <c r="KQ270" s="1803"/>
      <c r="KR270" s="1803"/>
      <c r="KS270" s="1803"/>
      <c r="KT270" s="1803"/>
      <c r="KU270" s="1803"/>
      <c r="KV270" s="1803"/>
      <c r="KW270" s="1803"/>
      <c r="KX270" s="1803"/>
      <c r="KY270" s="1803"/>
      <c r="KZ270" s="1803"/>
      <c r="LA270" s="1803"/>
      <c r="LB270" s="1803"/>
      <c r="LC270" s="1803"/>
      <c r="LD270" s="1803"/>
      <c r="LE270" s="1803"/>
      <c r="LF270" s="1803"/>
      <c r="LG270" s="1803"/>
      <c r="LH270" s="358"/>
      <c r="LI270" s="358"/>
      <c r="LJ270" s="358"/>
      <c r="LK270" s="358"/>
      <c r="LL270" s="358"/>
      <c r="LM270" s="358"/>
      <c r="LN270" s="1656"/>
      <c r="LO270" s="358"/>
      <c r="LP270" s="358"/>
      <c r="LQ270" s="358"/>
      <c r="LR270" s="358"/>
      <c r="LS270" s="358"/>
      <c r="LT270" s="358"/>
      <c r="LU270" s="358"/>
      <c r="LV270" s="358"/>
      <c r="LW270" s="358"/>
      <c r="LX270" s="358"/>
      <c r="LY270" s="358"/>
      <c r="LZ270" s="358"/>
      <c r="MA270" s="358"/>
      <c r="MB270" s="358"/>
      <c r="MC270" s="358"/>
      <c r="MD270" s="1656"/>
      <c r="ME270" s="1656"/>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0"/>
      <c r="NQ270" s="2480"/>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3"/>
      <c r="JX271" s="358"/>
      <c r="JY271" s="358"/>
      <c r="JZ271" s="358"/>
      <c r="KA271" s="358"/>
      <c r="KB271" s="1803"/>
      <c r="KC271" s="358"/>
      <c r="KD271" s="358"/>
      <c r="KE271" s="358"/>
      <c r="KF271" s="358"/>
      <c r="KG271" s="1803"/>
      <c r="KH271" s="358"/>
      <c r="KI271" s="358"/>
      <c r="KJ271" s="358"/>
      <c r="KK271" s="358"/>
      <c r="KL271" s="1803"/>
      <c r="KM271" s="1803"/>
      <c r="KN271" s="1803"/>
      <c r="KO271" s="1803"/>
      <c r="KP271" s="1803"/>
      <c r="KQ271" s="1803"/>
      <c r="KR271" s="1803"/>
      <c r="KS271" s="1803"/>
      <c r="KT271" s="1803"/>
      <c r="KU271" s="1803"/>
      <c r="KV271" s="1803"/>
      <c r="KW271" s="1803"/>
      <c r="KX271" s="1803"/>
      <c r="KY271" s="1803"/>
      <c r="KZ271" s="1803"/>
      <c r="LA271" s="1803"/>
      <c r="LB271" s="1803"/>
      <c r="LC271" s="1803"/>
      <c r="LD271" s="1803"/>
      <c r="LE271" s="1803"/>
      <c r="LF271" s="1803"/>
      <c r="LG271" s="1803"/>
      <c r="LH271" s="358"/>
      <c r="LI271" s="358"/>
      <c r="LJ271" s="358"/>
      <c r="LK271" s="358"/>
      <c r="LL271" s="358"/>
      <c r="LM271" s="358"/>
      <c r="LN271" s="1656"/>
      <c r="LO271" s="358"/>
      <c r="LP271" s="358"/>
      <c r="LQ271" s="358"/>
      <c r="LR271" s="358"/>
      <c r="LS271" s="358"/>
      <c r="LT271" s="358"/>
      <c r="LU271" s="358"/>
      <c r="LV271" s="358"/>
      <c r="LW271" s="358"/>
      <c r="LX271" s="358"/>
      <c r="LY271" s="358"/>
      <c r="LZ271" s="358"/>
      <c r="MA271" s="358"/>
      <c r="MB271" s="358"/>
      <c r="MC271" s="358"/>
      <c r="MD271" s="1656"/>
      <c r="ME271" s="1656"/>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1"/>
      <c r="NQ271" s="2480"/>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1"/>
    </row>
    <row r="273" spans="1:493" ht="14.1" customHeight="1">
      <c r="NP273" s="1631"/>
    </row>
    <row r="274" spans="1:493" ht="14.1" customHeight="1">
      <c r="NP274" s="1631"/>
    </row>
    <row r="275" spans="1:493" ht="14.1" customHeight="1">
      <c r="NP275" s="1631"/>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3"/>
      <c r="JX276" s="358"/>
      <c r="JY276" s="358"/>
      <c r="JZ276" s="358"/>
      <c r="KA276" s="358"/>
      <c r="KB276" s="1803"/>
      <c r="KC276" s="358"/>
      <c r="KD276" s="358"/>
      <c r="KE276" s="358"/>
      <c r="KF276" s="358"/>
      <c r="KG276" s="1803"/>
      <c r="KH276" s="358"/>
      <c r="KI276" s="358"/>
      <c r="KJ276" s="358"/>
      <c r="KK276" s="358"/>
      <c r="KL276" s="1803"/>
      <c r="KM276" s="1803"/>
      <c r="KN276" s="1803"/>
      <c r="KO276" s="1803"/>
      <c r="KP276" s="1803"/>
      <c r="KQ276" s="1803"/>
      <c r="KR276" s="1803"/>
      <c r="KS276" s="1803"/>
      <c r="KT276" s="1803"/>
      <c r="KU276" s="1803"/>
      <c r="KV276" s="1803"/>
      <c r="KW276" s="1803"/>
      <c r="KX276" s="1803"/>
      <c r="KY276" s="1803"/>
      <c r="KZ276" s="1803"/>
      <c r="LA276" s="1803"/>
      <c r="LB276" s="1803"/>
      <c r="LC276" s="1803"/>
      <c r="LD276" s="1803"/>
      <c r="LE276" s="1803"/>
      <c r="LF276" s="1803"/>
      <c r="LG276" s="1803"/>
      <c r="LH276" s="358"/>
      <c r="LI276" s="358"/>
      <c r="LJ276" s="358"/>
      <c r="LK276" s="358"/>
      <c r="LL276" s="358"/>
      <c r="LM276" s="358"/>
      <c r="LN276" s="1656"/>
      <c r="LO276" s="358"/>
      <c r="LP276" s="358"/>
      <c r="LQ276" s="358"/>
      <c r="LR276" s="358"/>
      <c r="LS276" s="358"/>
      <c r="LT276" s="358"/>
      <c r="LU276" s="358"/>
      <c r="LV276" s="358"/>
      <c r="LW276" s="358"/>
      <c r="LX276" s="358"/>
      <c r="LY276" s="358"/>
      <c r="LZ276" s="358"/>
      <c r="MA276" s="358"/>
      <c r="MB276" s="358"/>
      <c r="MC276" s="358"/>
      <c r="MD276" s="1656"/>
      <c r="ME276" s="1656"/>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1"/>
      <c r="NQ276" s="2480"/>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3"/>
      <c r="JX277" s="358"/>
      <c r="JY277" s="358"/>
      <c r="JZ277" s="358"/>
      <c r="KA277" s="358"/>
      <c r="KB277" s="1803"/>
      <c r="KC277" s="358"/>
      <c r="KD277" s="358"/>
      <c r="KE277" s="358"/>
      <c r="KF277" s="358"/>
      <c r="KG277" s="1803"/>
      <c r="KH277" s="358"/>
      <c r="KI277" s="358"/>
      <c r="KJ277" s="358"/>
      <c r="KK277" s="358"/>
      <c r="KL277" s="1803"/>
      <c r="KM277" s="1803"/>
      <c r="KN277" s="1803"/>
      <c r="KO277" s="1803"/>
      <c r="KP277" s="1803"/>
      <c r="KQ277" s="1803"/>
      <c r="KR277" s="1803"/>
      <c r="KS277" s="1803"/>
      <c r="KT277" s="1803"/>
      <c r="KU277" s="1803"/>
      <c r="KV277" s="1803"/>
      <c r="KW277" s="1803"/>
      <c r="KX277" s="1803"/>
      <c r="KY277" s="1803"/>
      <c r="KZ277" s="1803"/>
      <c r="LA277" s="1803"/>
      <c r="LB277" s="1803"/>
      <c r="LC277" s="1803"/>
      <c r="LD277" s="1803"/>
      <c r="LE277" s="1803"/>
      <c r="LF277" s="1803"/>
      <c r="LG277" s="1803"/>
      <c r="LH277" s="358"/>
      <c r="LI277" s="358"/>
      <c r="LJ277" s="358"/>
      <c r="LK277" s="358"/>
      <c r="LL277" s="358"/>
      <c r="LM277" s="358"/>
      <c r="LN277" s="1656"/>
      <c r="LO277" s="358"/>
      <c r="LP277" s="358"/>
      <c r="LQ277" s="358"/>
      <c r="LR277" s="358"/>
      <c r="LS277" s="358"/>
      <c r="LT277" s="358"/>
      <c r="LU277" s="358"/>
      <c r="LV277" s="358"/>
      <c r="LW277" s="358"/>
      <c r="LX277" s="358"/>
      <c r="LY277" s="358"/>
      <c r="LZ277" s="358"/>
      <c r="MA277" s="358"/>
      <c r="MB277" s="358"/>
      <c r="MC277" s="358"/>
      <c r="MD277" s="1656"/>
      <c r="ME277" s="1656"/>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1"/>
      <c r="NQ277" s="2480"/>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3"/>
      <c r="JX278" s="358"/>
      <c r="JY278" s="358"/>
      <c r="JZ278" s="358"/>
      <c r="KA278" s="358"/>
      <c r="KB278" s="1803"/>
      <c r="KC278" s="358"/>
      <c r="KD278" s="358"/>
      <c r="KE278" s="358"/>
      <c r="KF278" s="358"/>
      <c r="KG278" s="1803"/>
      <c r="KH278" s="358"/>
      <c r="KI278" s="358"/>
      <c r="KJ278" s="358"/>
      <c r="KK278" s="358"/>
      <c r="KL278" s="1803"/>
      <c r="KM278" s="1803"/>
      <c r="KN278" s="1803"/>
      <c r="KO278" s="1803"/>
      <c r="KP278" s="1803"/>
      <c r="KQ278" s="1803"/>
      <c r="KR278" s="1803"/>
      <c r="KS278" s="1803"/>
      <c r="KT278" s="1803"/>
      <c r="KU278" s="1803"/>
      <c r="KV278" s="1803"/>
      <c r="KW278" s="1803"/>
      <c r="KX278" s="1803"/>
      <c r="KY278" s="1803"/>
      <c r="KZ278" s="1803"/>
      <c r="LA278" s="1803"/>
      <c r="LB278" s="1803"/>
      <c r="LC278" s="1803"/>
      <c r="LD278" s="1803"/>
      <c r="LE278" s="1803"/>
      <c r="LF278" s="1803"/>
      <c r="LG278" s="1803"/>
      <c r="LH278" s="358"/>
      <c r="LI278" s="358"/>
      <c r="LJ278" s="358"/>
      <c r="LK278" s="358"/>
      <c r="LL278" s="358"/>
      <c r="LM278" s="358"/>
      <c r="LN278" s="1656"/>
      <c r="LO278" s="358"/>
      <c r="LP278" s="358"/>
      <c r="LQ278" s="358"/>
      <c r="LR278" s="358"/>
      <c r="LS278" s="358"/>
      <c r="LT278" s="358"/>
      <c r="LU278" s="358"/>
      <c r="LV278" s="358"/>
      <c r="LW278" s="358"/>
      <c r="LX278" s="358"/>
      <c r="LY278" s="358"/>
      <c r="LZ278" s="358"/>
      <c r="MA278" s="358"/>
      <c r="MB278" s="358"/>
      <c r="MC278" s="358"/>
      <c r="MD278" s="1656"/>
      <c r="ME278" s="1656"/>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0"/>
      <c r="NQ278" s="2480"/>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3"/>
      <c r="JX279" s="358"/>
      <c r="JY279" s="358"/>
      <c r="JZ279" s="358"/>
      <c r="KA279" s="358"/>
      <c r="KB279" s="1803"/>
      <c r="KC279" s="358"/>
      <c r="KD279" s="358"/>
      <c r="KE279" s="358"/>
      <c r="KF279" s="358"/>
      <c r="KG279" s="1803"/>
      <c r="KH279" s="358"/>
      <c r="KI279" s="358"/>
      <c r="KJ279" s="358"/>
      <c r="KK279" s="358"/>
      <c r="KL279" s="1803"/>
      <c r="KM279" s="1803"/>
      <c r="KN279" s="1803"/>
      <c r="KO279" s="1803"/>
      <c r="KP279" s="1803"/>
      <c r="KQ279" s="1803"/>
      <c r="KR279" s="1803"/>
      <c r="KS279" s="1803"/>
      <c r="KT279" s="1803"/>
      <c r="KU279" s="1803"/>
      <c r="KV279" s="1803"/>
      <c r="KW279" s="1803"/>
      <c r="KX279" s="1803"/>
      <c r="KY279" s="1803"/>
      <c r="KZ279" s="1803"/>
      <c r="LA279" s="1803"/>
      <c r="LB279" s="1803"/>
      <c r="LC279" s="1803"/>
      <c r="LD279" s="1803"/>
      <c r="LE279" s="1803"/>
      <c r="LF279" s="1803"/>
      <c r="LG279" s="1803"/>
      <c r="LH279" s="358"/>
      <c r="LI279" s="358"/>
      <c r="LJ279" s="358"/>
      <c r="LK279" s="358"/>
      <c r="LL279" s="358"/>
      <c r="LM279" s="358"/>
      <c r="LN279" s="1656"/>
      <c r="LO279" s="358"/>
      <c r="LP279" s="358"/>
      <c r="LQ279" s="358"/>
      <c r="LR279" s="358"/>
      <c r="LS279" s="358"/>
      <c r="LT279" s="358"/>
      <c r="LU279" s="358"/>
      <c r="LV279" s="358"/>
      <c r="LW279" s="358"/>
      <c r="LX279" s="358"/>
      <c r="LY279" s="358"/>
      <c r="LZ279" s="358"/>
      <c r="MA279" s="358"/>
      <c r="MB279" s="358"/>
      <c r="MC279" s="358"/>
      <c r="MD279" s="1656"/>
      <c r="ME279" s="1656"/>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0"/>
      <c r="NQ279" s="2480"/>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3"/>
      <c r="JX280" s="358"/>
      <c r="JY280" s="358"/>
      <c r="JZ280" s="358"/>
      <c r="KA280" s="358"/>
      <c r="KB280" s="1803"/>
      <c r="KC280" s="358"/>
      <c r="KD280" s="358"/>
      <c r="KE280" s="358"/>
      <c r="KF280" s="358"/>
      <c r="KG280" s="1803"/>
      <c r="KH280" s="358"/>
      <c r="KI280" s="358"/>
      <c r="KJ280" s="358"/>
      <c r="KK280" s="358"/>
      <c r="KL280" s="1803"/>
      <c r="KM280" s="1803"/>
      <c r="KN280" s="1803"/>
      <c r="KO280" s="1803"/>
      <c r="KP280" s="1803"/>
      <c r="KQ280" s="1803"/>
      <c r="KR280" s="1803"/>
      <c r="KS280" s="1803"/>
      <c r="KT280" s="1803"/>
      <c r="KU280" s="1803"/>
      <c r="KV280" s="1803"/>
      <c r="KW280" s="1803"/>
      <c r="KX280" s="1803"/>
      <c r="KY280" s="1803"/>
      <c r="KZ280" s="1803"/>
      <c r="LA280" s="1803"/>
      <c r="LB280" s="1803"/>
      <c r="LC280" s="1803"/>
      <c r="LD280" s="1803"/>
      <c r="LE280" s="1803"/>
      <c r="LF280" s="1803"/>
      <c r="LG280" s="1803"/>
      <c r="LH280" s="358"/>
      <c r="LI280" s="358"/>
      <c r="LJ280" s="358"/>
      <c r="LK280" s="358"/>
      <c r="LL280" s="358"/>
      <c r="LM280" s="358"/>
      <c r="LN280" s="1656"/>
      <c r="LO280" s="358"/>
      <c r="LP280" s="358"/>
      <c r="LQ280" s="358"/>
      <c r="LR280" s="358"/>
      <c r="LS280" s="358"/>
      <c r="LT280" s="358"/>
      <c r="LU280" s="358"/>
      <c r="LV280" s="358"/>
      <c r="LW280" s="358"/>
      <c r="LX280" s="358"/>
      <c r="LY280" s="358"/>
      <c r="LZ280" s="358"/>
      <c r="MA280" s="358"/>
      <c r="MB280" s="358"/>
      <c r="MC280" s="358"/>
      <c r="MD280" s="1656"/>
      <c r="ME280" s="1656"/>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0"/>
      <c r="NQ280" s="2480"/>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1"/>
    </row>
    <row r="283" spans="1:493" ht="14.1" customHeight="1">
      <c r="NP283" s="1631"/>
    </row>
    <row r="284" spans="1:493" ht="14.1" customHeight="1">
      <c r="NP284" s="1631"/>
    </row>
    <row r="285" spans="1:493" ht="14.1" customHeight="1">
      <c r="NP285" s="1631"/>
    </row>
    <row r="286" spans="1:493" ht="14.1" customHeight="1">
      <c r="NP286" s="1631"/>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3"/>
      <c r="JX288" s="358"/>
      <c r="JY288" s="358"/>
      <c r="JZ288" s="358"/>
      <c r="KA288" s="358"/>
      <c r="KB288" s="1803"/>
      <c r="KC288" s="358"/>
      <c r="KD288" s="358"/>
      <c r="KE288" s="358"/>
      <c r="KF288" s="358"/>
      <c r="KG288" s="1803"/>
      <c r="KH288" s="358"/>
      <c r="KI288" s="358"/>
      <c r="KJ288" s="358"/>
      <c r="KK288" s="358"/>
      <c r="KL288" s="1803"/>
      <c r="KM288" s="1803"/>
      <c r="KN288" s="1803"/>
      <c r="KO288" s="1803"/>
      <c r="KP288" s="1803"/>
      <c r="KQ288" s="1803"/>
      <c r="KR288" s="1803"/>
      <c r="KS288" s="1803"/>
      <c r="KT288" s="1803"/>
      <c r="KU288" s="1803"/>
      <c r="KV288" s="1803"/>
      <c r="KW288" s="1803"/>
      <c r="KX288" s="1803"/>
      <c r="KY288" s="1803"/>
      <c r="KZ288" s="1803"/>
      <c r="LA288" s="1803"/>
      <c r="LB288" s="1803"/>
      <c r="LC288" s="1803"/>
      <c r="LD288" s="1803"/>
      <c r="LE288" s="1803"/>
      <c r="LF288" s="1803"/>
      <c r="LG288" s="1803"/>
      <c r="LH288" s="358"/>
      <c r="LI288" s="358"/>
      <c r="LJ288" s="358"/>
      <c r="LK288" s="358"/>
      <c r="LL288" s="358"/>
      <c r="LM288" s="358"/>
      <c r="LN288" s="1656"/>
      <c r="LO288" s="358"/>
      <c r="LP288" s="358"/>
      <c r="LQ288" s="358"/>
      <c r="LR288" s="358"/>
      <c r="LS288" s="358"/>
      <c r="LT288" s="358"/>
      <c r="LU288" s="358"/>
      <c r="LV288" s="358"/>
      <c r="LW288" s="358"/>
      <c r="LX288" s="358"/>
      <c r="LY288" s="358"/>
      <c r="LZ288" s="358"/>
      <c r="MA288" s="358"/>
      <c r="MB288" s="358"/>
      <c r="MC288" s="358"/>
      <c r="MD288" s="1656"/>
      <c r="ME288" s="1656"/>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0"/>
      <c r="NQ288" s="2480"/>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3"/>
      <c r="JX289" s="358"/>
      <c r="JY289" s="358"/>
      <c r="JZ289" s="358"/>
      <c r="KA289" s="358"/>
      <c r="KB289" s="1803"/>
      <c r="KC289" s="358"/>
      <c r="KD289" s="358"/>
      <c r="KE289" s="358"/>
      <c r="KF289" s="358"/>
      <c r="KG289" s="1803"/>
      <c r="KH289" s="358"/>
      <c r="KI289" s="358"/>
      <c r="KJ289" s="358"/>
      <c r="KK289" s="358"/>
      <c r="KL289" s="1803"/>
      <c r="KM289" s="1803"/>
      <c r="KN289" s="1803"/>
      <c r="KO289" s="1803"/>
      <c r="KP289" s="1803"/>
      <c r="KQ289" s="1803"/>
      <c r="KR289" s="1803"/>
      <c r="KS289" s="1803"/>
      <c r="KT289" s="1803"/>
      <c r="KU289" s="1803"/>
      <c r="KV289" s="1803"/>
      <c r="KW289" s="1803"/>
      <c r="KX289" s="1803"/>
      <c r="KY289" s="1803"/>
      <c r="KZ289" s="1803"/>
      <c r="LA289" s="1803"/>
      <c r="LB289" s="1803"/>
      <c r="LC289" s="1803"/>
      <c r="LD289" s="1803"/>
      <c r="LE289" s="1803"/>
      <c r="LF289" s="1803"/>
      <c r="LG289" s="1803"/>
      <c r="LH289" s="358"/>
      <c r="LI289" s="358"/>
      <c r="LJ289" s="358"/>
      <c r="LK289" s="358"/>
      <c r="LL289" s="358"/>
      <c r="LM289" s="358"/>
      <c r="LN289" s="1656"/>
      <c r="LO289" s="358"/>
      <c r="LP289" s="358"/>
      <c r="LQ289" s="358"/>
      <c r="LR289" s="358"/>
      <c r="LS289" s="358"/>
      <c r="LT289" s="358"/>
      <c r="LU289" s="358"/>
      <c r="LV289" s="358"/>
      <c r="LW289" s="358"/>
      <c r="LX289" s="358"/>
      <c r="LY289" s="358"/>
      <c r="LZ289" s="358"/>
      <c r="MA289" s="358"/>
      <c r="MB289" s="358"/>
      <c r="MC289" s="358"/>
      <c r="MD289" s="1656"/>
      <c r="ME289" s="1656"/>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0"/>
      <c r="NQ289" s="2480"/>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3"/>
      <c r="JX290" s="358"/>
      <c r="JY290" s="358"/>
      <c r="JZ290" s="358"/>
      <c r="KA290" s="358"/>
      <c r="KB290" s="1803"/>
      <c r="KC290" s="358"/>
      <c r="KD290" s="358"/>
      <c r="KE290" s="358"/>
      <c r="KF290" s="358"/>
      <c r="KG290" s="1803"/>
      <c r="KH290" s="358"/>
      <c r="KI290" s="358"/>
      <c r="KJ290" s="358"/>
      <c r="KK290" s="358"/>
      <c r="KL290" s="1803"/>
      <c r="KM290" s="1803"/>
      <c r="KN290" s="1803"/>
      <c r="KO290" s="1803"/>
      <c r="KP290" s="1803"/>
      <c r="KQ290" s="1803"/>
      <c r="KR290" s="1803"/>
      <c r="KS290" s="1803"/>
      <c r="KT290" s="1803"/>
      <c r="KU290" s="1803"/>
      <c r="KV290" s="1803"/>
      <c r="KW290" s="1803"/>
      <c r="KX290" s="1803"/>
      <c r="KY290" s="1803"/>
      <c r="KZ290" s="1803"/>
      <c r="LA290" s="1803"/>
      <c r="LB290" s="1803"/>
      <c r="LC290" s="1803"/>
      <c r="LD290" s="1803"/>
      <c r="LE290" s="1803"/>
      <c r="LF290" s="1803"/>
      <c r="LG290" s="1803"/>
      <c r="LH290" s="358"/>
      <c r="LI290" s="358"/>
      <c r="LJ290" s="358"/>
      <c r="LK290" s="358"/>
      <c r="LL290" s="358"/>
      <c r="LM290" s="358"/>
      <c r="LN290" s="1656"/>
      <c r="LO290" s="358"/>
      <c r="LP290" s="358"/>
      <c r="LQ290" s="358"/>
      <c r="LR290" s="358"/>
      <c r="LS290" s="358"/>
      <c r="LT290" s="358"/>
      <c r="LU290" s="358"/>
      <c r="LV290" s="358"/>
      <c r="LW290" s="358"/>
      <c r="LX290" s="358"/>
      <c r="LY290" s="358"/>
      <c r="LZ290" s="358"/>
      <c r="MA290" s="358"/>
      <c r="MB290" s="358"/>
      <c r="MC290" s="358"/>
      <c r="MD290" s="1656"/>
      <c r="ME290" s="1656"/>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0"/>
      <c r="NQ290" s="2480"/>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3"/>
      <c r="JX291" s="358"/>
      <c r="JY291" s="358"/>
      <c r="JZ291" s="358"/>
      <c r="KA291" s="358"/>
      <c r="KB291" s="1803"/>
      <c r="KC291" s="358"/>
      <c r="KD291" s="358"/>
      <c r="KE291" s="358"/>
      <c r="KF291" s="358"/>
      <c r="KG291" s="1803"/>
      <c r="KH291" s="358"/>
      <c r="KI291" s="358"/>
      <c r="KJ291" s="358"/>
      <c r="KK291" s="358"/>
      <c r="KL291" s="1803"/>
      <c r="KM291" s="1803"/>
      <c r="KN291" s="1803"/>
      <c r="KO291" s="1803"/>
      <c r="KP291" s="1803"/>
      <c r="KQ291" s="1803"/>
      <c r="KR291" s="1803"/>
      <c r="KS291" s="1803"/>
      <c r="KT291" s="1803"/>
      <c r="KU291" s="1803"/>
      <c r="KV291" s="1803"/>
      <c r="KW291" s="1803"/>
      <c r="KX291" s="1803"/>
      <c r="KY291" s="1803"/>
      <c r="KZ291" s="1803"/>
      <c r="LA291" s="1803"/>
      <c r="LB291" s="1803"/>
      <c r="LC291" s="1803"/>
      <c r="LD291" s="1803"/>
      <c r="LE291" s="1803"/>
      <c r="LF291" s="1803"/>
      <c r="LG291" s="1803"/>
      <c r="LH291" s="358"/>
      <c r="LI291" s="358"/>
      <c r="LJ291" s="358"/>
      <c r="LK291" s="358"/>
      <c r="LL291" s="358"/>
      <c r="LM291" s="358"/>
      <c r="LN291" s="1656"/>
      <c r="LO291" s="358"/>
      <c r="LP291" s="358"/>
      <c r="LQ291" s="358"/>
      <c r="LR291" s="358"/>
      <c r="LS291" s="358"/>
      <c r="LT291" s="358"/>
      <c r="LU291" s="358"/>
      <c r="LV291" s="358"/>
      <c r="LW291" s="358"/>
      <c r="LX291" s="358"/>
      <c r="LY291" s="358"/>
      <c r="LZ291" s="358"/>
      <c r="MA291" s="358"/>
      <c r="MB291" s="358"/>
      <c r="MC291" s="358"/>
      <c r="MD291" s="1656"/>
      <c r="ME291" s="1656"/>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0"/>
      <c r="NQ291" s="2480"/>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3"/>
      <c r="JX292" s="358"/>
      <c r="JY292" s="358"/>
      <c r="JZ292" s="358"/>
      <c r="KA292" s="358"/>
      <c r="KB292" s="1803"/>
      <c r="KC292" s="358"/>
      <c r="KD292" s="358"/>
      <c r="KE292" s="358"/>
      <c r="KF292" s="358"/>
      <c r="KG292" s="1803"/>
      <c r="KH292" s="358"/>
      <c r="KI292" s="358"/>
      <c r="KJ292" s="358"/>
      <c r="KK292" s="358"/>
      <c r="KL292" s="1803"/>
      <c r="KM292" s="1803"/>
      <c r="KN292" s="1803"/>
      <c r="KO292" s="1803"/>
      <c r="KP292" s="1803"/>
      <c r="KQ292" s="1803"/>
      <c r="KR292" s="1803"/>
      <c r="KS292" s="1803"/>
      <c r="KT292" s="1803"/>
      <c r="KU292" s="1803"/>
      <c r="KV292" s="1803"/>
      <c r="KW292" s="1803"/>
      <c r="KX292" s="1803"/>
      <c r="KY292" s="1803"/>
      <c r="KZ292" s="1803"/>
      <c r="LA292" s="1803"/>
      <c r="LB292" s="1803"/>
      <c r="LC292" s="1803"/>
      <c r="LD292" s="1803"/>
      <c r="LE292" s="1803"/>
      <c r="LF292" s="1803"/>
      <c r="LG292" s="1803"/>
      <c r="LH292" s="358"/>
      <c r="LI292" s="358"/>
      <c r="LJ292" s="358"/>
      <c r="LK292" s="358"/>
      <c r="LL292" s="358"/>
      <c r="LM292" s="358"/>
      <c r="LN292" s="1656"/>
      <c r="LO292" s="358"/>
      <c r="LP292" s="358"/>
      <c r="LQ292" s="358"/>
      <c r="LR292" s="358"/>
      <c r="LS292" s="358"/>
      <c r="LT292" s="358"/>
      <c r="LU292" s="358"/>
      <c r="LV292" s="358"/>
      <c r="LW292" s="358"/>
      <c r="LX292" s="358"/>
      <c r="LY292" s="358"/>
      <c r="LZ292" s="358"/>
      <c r="MA292" s="358"/>
      <c r="MB292" s="358"/>
      <c r="MC292" s="358"/>
      <c r="MD292" s="1656"/>
      <c r="ME292" s="1656"/>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0"/>
      <c r="NQ292" s="2480"/>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1"/>
    </row>
    <row r="295" spans="1:493" ht="14.1" customHeight="1">
      <c r="NP295" s="1631"/>
    </row>
    <row r="296" spans="1:493" ht="14.1" customHeight="1">
      <c r="NP296" s="1631"/>
    </row>
    <row r="297" spans="1:493" ht="14.1" customHeight="1">
      <c r="NP297" s="1631"/>
    </row>
    <row r="298" spans="1:493" ht="14.1" customHeight="1">
      <c r="NP298" s="1631"/>
    </row>
    <row r="299" spans="1:493" ht="14.1" customHeight="1"/>
    <row r="300" spans="1:493" ht="14.1" customHeight="1"/>
    <row r="301" spans="1:493" ht="14.1" customHeight="1"/>
    <row r="302" spans="1:493" ht="14.1" customHeight="1"/>
    <row r="303" spans="1:493" ht="14.1" customHeight="1"/>
  </sheetData>
  <sheetProtection algorithmName="SHA-512" hashValue="Ix0PrIHbvNKAav5giuB9eiY4HFE6ry/48cSECi7z2l5MvhA6fjq1faP7BpSU/KKD1z+DxhM5tUOA8C1DbGqP2g==" saltValue="jtL6uQCeqBOFo1Ktp6Olz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75" bottom="0.5" header="0.3" footer="0.3"/>
  <pageSetup scale="78" fitToHeight="0" orientation="landscape" r:id="rId1"/>
  <headerFooter>
    <oddHeader>&amp;LGeorgia Department of Community Affairs&amp;C2024 Funding Application&amp;RHousing Finance and Development Division</oddHeader>
    <oddFooter>&amp;L&amp;G  &amp;F&amp;C&amp;A&amp;R&amp;P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dimension ref="A1:AA175"/>
  <sheetViews>
    <sheetView showGridLines="0" view="pageBreakPreview" topLeftCell="A61" zoomScale="60" zoomScaleNormal="100" workbookViewId="0">
      <selection activeCell="O29" sqref="O29:P29"/>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0" bestFit="1" customWidth="1"/>
    <col min="27" max="27" width="8.7109375" style="1632"/>
    <col min="28" max="16384" width="8.7109375" style="6"/>
  </cols>
  <sheetData>
    <row r="1" spans="1:27" s="1630" customFormat="1" hidden="1">
      <c r="B1" s="1630" t="s">
        <v>4349</v>
      </c>
      <c r="C1" s="1630" t="s">
        <v>4350</v>
      </c>
      <c r="D1" s="1630" t="s">
        <v>4351</v>
      </c>
      <c r="E1" s="1630" t="s">
        <v>4352</v>
      </c>
      <c r="F1" s="1630" t="s">
        <v>4353</v>
      </c>
      <c r="G1" s="1630" t="s">
        <v>4354</v>
      </c>
      <c r="H1" s="1630" t="s">
        <v>4355</v>
      </c>
      <c r="I1" s="1630" t="s">
        <v>4356</v>
      </c>
      <c r="J1" s="1630" t="s">
        <v>4357</v>
      </c>
      <c r="K1" s="1630" t="s">
        <v>4358</v>
      </c>
      <c r="AA1" s="1632">
        <v>1</v>
      </c>
    </row>
    <row r="2" spans="1:27" ht="14.1" customHeight="1">
      <c r="A2" s="3568" t="str">
        <f>CONCATENATE("PART SIX - OPERATING PRO FORMA","  -  ",'Part I-Project Identification'!$O$7," ",'Part I-Project Identification'!$F$26,", ",'Part I-Project Identification'!F27,", ",'Part I-Project Identification'!J27," County")</f>
        <v>PART SIX - OPERATING PRO FORMA  -  2024-0 Redland Trace, Lawrenceville, Gwinnett County</v>
      </c>
      <c r="B2" s="3569"/>
      <c r="C2" s="3569"/>
      <c r="D2" s="3569"/>
      <c r="E2" s="3569"/>
      <c r="F2" s="3569"/>
      <c r="G2" s="3569"/>
      <c r="H2" s="3569"/>
      <c r="I2" s="3569"/>
      <c r="J2" s="3569"/>
      <c r="K2" s="3570"/>
      <c r="L2" s="4"/>
      <c r="M2" s="4"/>
      <c r="N2" s="3571" t="str">
        <f>A2</f>
        <v>PART SIX - OPERATING PRO FORMA  -  2024-0 Redland Trace, Lawrenceville, Gwinnett County</v>
      </c>
      <c r="O2" s="3571"/>
      <c r="P2" s="4"/>
      <c r="AA2" s="1632">
        <v>2</v>
      </c>
    </row>
    <row r="3" spans="1:27" ht="13.5" customHeight="1">
      <c r="A3" s="381"/>
      <c r="B3" s="381"/>
      <c r="C3" s="381"/>
      <c r="D3" s="381"/>
      <c r="E3" s="381"/>
      <c r="F3" s="381"/>
      <c r="G3" s="381"/>
      <c r="H3" s="381"/>
      <c r="I3" s="381"/>
      <c r="J3" s="381"/>
      <c r="K3" s="381"/>
      <c r="N3" s="3445" t="s">
        <v>1706</v>
      </c>
      <c r="O3" s="3445"/>
      <c r="AA3" s="1632">
        <v>3</v>
      </c>
    </row>
    <row r="4" spans="1:27" ht="13.5" customHeight="1">
      <c r="A4" s="10" t="s">
        <v>85</v>
      </c>
      <c r="C4" s="3572" t="str">
        <f>'Part I-Project Identification'!$A$6</f>
        <v>2024 May 7</v>
      </c>
      <c r="D4" s="931" t="s">
        <v>75</v>
      </c>
      <c r="E4" s="180"/>
      <c r="F4" s="932" t="s">
        <v>3316</v>
      </c>
      <c r="N4" s="10" t="str">
        <f>A4</f>
        <v>I.  OPERATING ASSUMPTIONS</v>
      </c>
      <c r="O4" s="10"/>
      <c r="AA4" s="1632">
        <v>4</v>
      </c>
    </row>
    <row r="5" spans="1:27" ht="2.65" customHeight="1">
      <c r="C5" s="3573"/>
      <c r="AA5" s="1632">
        <v>5</v>
      </c>
    </row>
    <row r="6" spans="1:27" ht="13.5" customHeight="1">
      <c r="A6" s="6" t="s">
        <v>2026</v>
      </c>
      <c r="B6" s="58">
        <f>'DCA Underwriting Assumptions'!$Q$114</f>
        <v>0.02</v>
      </c>
      <c r="C6" s="3573"/>
      <c r="D6" s="3458" t="s">
        <v>3317</v>
      </c>
      <c r="E6" s="3458"/>
      <c r="F6" s="3458"/>
      <c r="G6" s="59">
        <v>5000</v>
      </c>
      <c r="H6" s="75" t="s">
        <v>1763</v>
      </c>
      <c r="K6" s="80">
        <f>IF(($B$15+$B$16+$B$17+$B$18)=0,"",B31/($B$15+$B$16+$B$17+$B$18))</f>
        <v>-4.3071397215451402E-3</v>
      </c>
      <c r="N6" s="3477"/>
      <c r="O6" s="3479"/>
      <c r="AA6" s="1632">
        <v>6</v>
      </c>
    </row>
    <row r="7" spans="1:27">
      <c r="A7" s="6" t="s">
        <v>2027</v>
      </c>
      <c r="B7" s="58">
        <f>'DCA Underwriting Assumptions'!$Q$117</f>
        <v>0.03</v>
      </c>
      <c r="C7" s="3573"/>
      <c r="D7" s="3458"/>
      <c r="E7" s="3458"/>
      <c r="F7" s="3458"/>
      <c r="G7" s="933">
        <f>IF(OR('Part II-Sources of Funds'!E6="Yes",'Part II-Sources of Funds'!I6&gt;0),'DCA Underwriting Assumptions'!$Q$79,0)</f>
        <v>0</v>
      </c>
      <c r="N7" s="3453"/>
      <c r="O7" s="3455"/>
      <c r="AA7" s="1632">
        <v>7</v>
      </c>
    </row>
    <row r="8" spans="1:27">
      <c r="A8" s="6" t="s">
        <v>2029</v>
      </c>
      <c r="B8" s="58">
        <f>'DCA Underwriting Assumptions'!$Q$118</f>
        <v>0.03</v>
      </c>
      <c r="C8" s="3573"/>
      <c r="D8" s="1" t="s">
        <v>258</v>
      </c>
      <c r="G8" s="61"/>
      <c r="H8" s="75" t="s">
        <v>2185</v>
      </c>
      <c r="K8" s="80">
        <f>IF(($B$15+$B$16+$B$17+$B$18)=0,"",-B22/($B$15+$B$16+$B$17+$B$18))</f>
        <v>4.0000406593989714E-2</v>
      </c>
      <c r="N8" s="3453"/>
      <c r="O8" s="3455"/>
      <c r="AA8" s="1632">
        <v>8</v>
      </c>
    </row>
    <row r="9" spans="1:27" ht="13.35" customHeight="1">
      <c r="A9" s="6" t="s">
        <v>2028</v>
      </c>
      <c r="B9" s="186">
        <v>7.0000000000000007E-2</v>
      </c>
      <c r="C9" s="1154" t="str">
        <f>IF(B9&lt;0.07, "Must be &gt;= 7%!","")</f>
        <v/>
      </c>
      <c r="D9" s="1" t="s">
        <v>2301</v>
      </c>
      <c r="G9" s="1169" t="s">
        <v>2644</v>
      </c>
      <c r="H9" s="140" t="s">
        <v>1353</v>
      </c>
      <c r="K9" s="1171"/>
      <c r="N9" s="3453"/>
      <c r="O9" s="3455"/>
      <c r="AA9" s="1632">
        <v>9</v>
      </c>
    </row>
    <row r="10" spans="1:27">
      <c r="A10" s="6" t="s">
        <v>1334</v>
      </c>
      <c r="B10" s="58">
        <v>0.02</v>
      </c>
      <c r="D10" s="1" t="s">
        <v>1595</v>
      </c>
      <c r="G10" s="1170" t="s">
        <v>2641</v>
      </c>
      <c r="H10" s="140" t="s">
        <v>2168</v>
      </c>
      <c r="K10" s="1172">
        <v>0.04</v>
      </c>
      <c r="N10" s="3466"/>
      <c r="O10" s="3468"/>
      <c r="AA10" s="1632">
        <v>10</v>
      </c>
    </row>
    <row r="11" spans="1:27" ht="9" customHeight="1">
      <c r="AA11" s="1632">
        <v>11</v>
      </c>
    </row>
    <row r="12" spans="1:27">
      <c r="A12" s="10" t="s">
        <v>86</v>
      </c>
      <c r="D12" s="852"/>
      <c r="N12" s="10" t="str">
        <f>A12</f>
        <v>II.  OPERATING PRO FORMA</v>
      </c>
      <c r="AA12" s="1632">
        <v>12</v>
      </c>
    </row>
    <row r="13" spans="1:27" ht="2.65" customHeight="1">
      <c r="AA13" s="1632">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1" t="s">
        <v>2404</v>
      </c>
      <c r="O14" s="3101"/>
      <c r="AA14" s="1632">
        <v>14</v>
      </c>
    </row>
    <row r="15" spans="1:27" ht="13.35" customHeight="1">
      <c r="A15" s="14" t="s">
        <v>2209</v>
      </c>
      <c r="B15" s="15">
        <f>'Part V-Revenues &amp; Expenses'!$M$50</f>
        <v>1238640</v>
      </c>
      <c r="C15" s="15">
        <f t="shared" ref="C15:K15" si="1">$B$15*(1+$B$6)^(C14-1)</f>
        <v>1263412.8</v>
      </c>
      <c r="D15" s="15">
        <f t="shared" si="1"/>
        <v>1288681.0560000001</v>
      </c>
      <c r="E15" s="15">
        <f t="shared" si="1"/>
        <v>1314454.6771199999</v>
      </c>
      <c r="F15" s="15">
        <f t="shared" si="1"/>
        <v>1340743.7706623999</v>
      </c>
      <c r="G15" s="15">
        <f t="shared" si="1"/>
        <v>1367558.646075648</v>
      </c>
      <c r="H15" s="15">
        <f t="shared" si="1"/>
        <v>1394909.818997161</v>
      </c>
      <c r="I15" s="15">
        <f t="shared" si="1"/>
        <v>1422808.015377104</v>
      </c>
      <c r="J15" s="15">
        <f t="shared" si="1"/>
        <v>1451264.1756846462</v>
      </c>
      <c r="K15" s="16">
        <f t="shared" si="1"/>
        <v>1480289.4591983391</v>
      </c>
      <c r="N15" s="3477"/>
      <c r="O15" s="3479"/>
      <c r="S15" s="3574" t="s">
        <v>3322</v>
      </c>
      <c r="Z15" s="1630" t="s">
        <v>4359</v>
      </c>
      <c r="AA15" s="1632">
        <v>15</v>
      </c>
    </row>
    <row r="16" spans="1:27" ht="13.35" customHeight="1">
      <c r="A16" s="17" t="s">
        <v>951</v>
      </c>
      <c r="B16" s="18">
        <f>MIN(B15*B10,'Part V-Revenues &amp; Expenses'!$H$183)</f>
        <v>9600</v>
      </c>
      <c r="C16" s="18">
        <f t="shared" ref="C16:K16" si="2">$B$16*(1+$B$6)^(C14-1)</f>
        <v>9792</v>
      </c>
      <c r="D16" s="18">
        <f t="shared" si="2"/>
        <v>9987.84</v>
      </c>
      <c r="E16" s="18">
        <f t="shared" si="2"/>
        <v>10187.596799999999</v>
      </c>
      <c r="F16" s="18">
        <f t="shared" si="2"/>
        <v>10391.348736</v>
      </c>
      <c r="G16" s="18">
        <f t="shared" si="2"/>
        <v>10599.175710720001</v>
      </c>
      <c r="H16" s="18">
        <f t="shared" si="2"/>
        <v>10811.159224934401</v>
      </c>
      <c r="I16" s="18">
        <f t="shared" si="2"/>
        <v>11027.382409433087</v>
      </c>
      <c r="J16" s="18">
        <f t="shared" si="2"/>
        <v>11247.930057621748</v>
      </c>
      <c r="K16" s="19">
        <f t="shared" si="2"/>
        <v>11472.888658774184</v>
      </c>
      <c r="N16" s="3453"/>
      <c r="O16" s="3455"/>
      <c r="S16" s="3575"/>
      <c r="Z16" s="1630" t="s">
        <v>4359</v>
      </c>
      <c r="AA16" s="1632">
        <v>16</v>
      </c>
    </row>
    <row r="17" spans="1:27" ht="13.35" customHeight="1">
      <c r="A17" s="17" t="s">
        <v>2210</v>
      </c>
      <c r="B17" s="18">
        <f t="shared" ref="B17:K17" si="3">-(B15+B16)*$B$9</f>
        <v>-87376.8</v>
      </c>
      <c r="C17" s="18">
        <f t="shared" si="3"/>
        <v>-89124.33600000001</v>
      </c>
      <c r="D17" s="18">
        <f t="shared" si="3"/>
        <v>-90906.822720000026</v>
      </c>
      <c r="E17" s="18">
        <f t="shared" si="3"/>
        <v>-92724.959174399992</v>
      </c>
      <c r="F17" s="18">
        <f t="shared" si="3"/>
        <v>-94579.458357888012</v>
      </c>
      <c r="G17" s="18">
        <f t="shared" si="3"/>
        <v>-96471.047525045768</v>
      </c>
      <c r="H17" s="18">
        <f t="shared" si="3"/>
        <v>-98400.468475546688</v>
      </c>
      <c r="I17" s="18">
        <f t="shared" si="3"/>
        <v>-100368.47784505761</v>
      </c>
      <c r="J17" s="18">
        <f t="shared" si="3"/>
        <v>-102375.84740195877</v>
      </c>
      <c r="K17" s="19">
        <f t="shared" si="3"/>
        <v>-104423.36434999794</v>
      </c>
      <c r="N17" s="3453"/>
      <c r="O17" s="3455"/>
      <c r="Q17" s="3577" t="s">
        <v>3216</v>
      </c>
      <c r="R17" s="3577" t="s">
        <v>3321</v>
      </c>
      <c r="S17" s="3575"/>
      <c r="Z17" s="1630" t="s">
        <v>4359</v>
      </c>
      <c r="AA17" s="1632">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3"/>
      <c r="O18" s="3455"/>
      <c r="Q18" s="3577"/>
      <c r="R18" s="3577"/>
      <c r="S18" s="3576"/>
      <c r="Z18" s="1630" t="s">
        <v>4359</v>
      </c>
      <c r="AA18" s="1632">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3"/>
      <c r="O19" s="3455"/>
      <c r="Z19" s="1630" t="s">
        <v>4359</v>
      </c>
      <c r="AA19" s="1632">
        <v>19</v>
      </c>
    </row>
    <row r="20" spans="1:27" ht="13.35" customHeight="1">
      <c r="A20" s="340" t="s">
        <v>3715</v>
      </c>
      <c r="B20" s="18">
        <f>SUM(B15:B19)</f>
        <v>1160863.2</v>
      </c>
      <c r="C20" s="18">
        <f t="shared" ref="C20:K20" si="4">SUM(C15:C19)</f>
        <v>1184080.4640000002</v>
      </c>
      <c r="D20" s="18">
        <f t="shared" si="4"/>
        <v>1207762.0732800001</v>
      </c>
      <c r="E20" s="18">
        <f t="shared" si="4"/>
        <v>1231917.3147455999</v>
      </c>
      <c r="F20" s="18">
        <f t="shared" si="4"/>
        <v>1256555.6610405119</v>
      </c>
      <c r="G20" s="18">
        <f t="shared" si="4"/>
        <v>1281686.7742613223</v>
      </c>
      <c r="H20" s="18">
        <f t="shared" si="4"/>
        <v>1307320.5097465487</v>
      </c>
      <c r="I20" s="18">
        <f t="shared" si="4"/>
        <v>1333466.9199414796</v>
      </c>
      <c r="J20" s="18">
        <f t="shared" si="4"/>
        <v>1360136.2583403094</v>
      </c>
      <c r="K20" s="19">
        <f t="shared" si="4"/>
        <v>1387338.9835071154</v>
      </c>
      <c r="N20" s="3453"/>
      <c r="O20" s="3455"/>
      <c r="Z20" s="1630" t="s">
        <v>4359</v>
      </c>
      <c r="AA20" s="1632">
        <v>20</v>
      </c>
    </row>
    <row r="21" spans="1:27" ht="13.35" customHeight="1">
      <c r="A21" s="17" t="s">
        <v>571</v>
      </c>
      <c r="B21" s="18">
        <f>-('Part V-Revenues &amp; Expenses'!$Q$232-'Part V-Revenues &amp; Expenses'!$Q$224)</f>
        <v>-543400</v>
      </c>
      <c r="C21" s="18">
        <f t="shared" ref="C21:K21" si="5">$B$21*(1+$B$7)^(C14-1)</f>
        <v>-559702</v>
      </c>
      <c r="D21" s="18">
        <f t="shared" si="5"/>
        <v>-576493.05999999994</v>
      </c>
      <c r="E21" s="18">
        <f t="shared" si="5"/>
        <v>-593787.85179999995</v>
      </c>
      <c r="F21" s="18">
        <f t="shared" si="5"/>
        <v>-611601.48735399998</v>
      </c>
      <c r="G21" s="18">
        <f t="shared" si="5"/>
        <v>-629949.53197461995</v>
      </c>
      <c r="H21" s="18">
        <f t="shared" si="5"/>
        <v>-648848.01793385856</v>
      </c>
      <c r="I21" s="18">
        <f t="shared" si="5"/>
        <v>-668313.45847187436</v>
      </c>
      <c r="J21" s="18">
        <f t="shared" si="5"/>
        <v>-688362.86222603044</v>
      </c>
      <c r="K21" s="19">
        <f t="shared" si="5"/>
        <v>-709013.74809281144</v>
      </c>
      <c r="N21" s="3453"/>
      <c r="O21" s="3455"/>
      <c r="Q21" s="47">
        <v>1</v>
      </c>
      <c r="R21" s="856">
        <f>-B32</f>
        <v>135076.37683177268</v>
      </c>
      <c r="S21" s="856">
        <f>B33+R21</f>
        <v>135076.37683177268</v>
      </c>
      <c r="Z21" s="1630" t="s">
        <v>4359</v>
      </c>
      <c r="AA21" s="1632">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-46435</v>
      </c>
      <c r="C22" s="18">
        <f>IF(AND('Part VI-Pro Forma'!$G$9="Yes",'Part VI-Pro Forma'!$G$10="Yes"),"Choose One!",IF('Part VI-Pro Forma'!$G$9="Yes",ROUND((-$K$9*(1+'Part VI-Pro Forma'!$B$7)^('Part VI-Pro Forma'!C14-1)),),IF('Part VI-Pro Forma'!$G$10="Yes",ROUND((-(SUM(C15:C18)*'Part VI-Pro Forma'!$K$10)),),"Choose mgt fee")))</f>
        <v>-47363</v>
      </c>
      <c r="D22" s="18">
        <f>IF(AND('Part VI-Pro Forma'!$G$9="Yes",'Part VI-Pro Forma'!$G$10="Yes"),"Choose One!",IF('Part VI-Pro Forma'!$G$9="Yes",ROUND((-$K$9*(1+'Part VI-Pro Forma'!$B$7)^('Part VI-Pro Forma'!D14-1)),),IF('Part VI-Pro Forma'!$G$10="Yes",ROUND((-(SUM(D15:D18)*'Part VI-Pro Forma'!$K$10)),),"Choose mgt fee")))</f>
        <v>-48310</v>
      </c>
      <c r="E22" s="18">
        <f>IF(AND('Part VI-Pro Forma'!$G$9="Yes",'Part VI-Pro Forma'!$G$10="Yes"),"Choose One!",IF('Part VI-Pro Forma'!$G$9="Yes",ROUND((-$K$9*(1+'Part VI-Pro Forma'!$B$7)^('Part VI-Pro Forma'!E14-1)),),IF('Part VI-Pro Forma'!$G$10="Yes",ROUND((-(SUM(E15:E18)*'Part VI-Pro Forma'!$K$10)),),"Choose mgt fee")))</f>
        <v>-49277</v>
      </c>
      <c r="F22" s="18">
        <f>IF(AND('Part VI-Pro Forma'!$G$9="Yes",'Part VI-Pro Forma'!$G$10="Yes"),"Choose One!",IF('Part VI-Pro Forma'!$G$9="Yes",ROUND((-$K$9*(1+'Part VI-Pro Forma'!$B$7)^('Part VI-Pro Forma'!F14-1)),),IF('Part VI-Pro Forma'!$G$10="Yes",ROUND((-(SUM(F15:F18)*'Part VI-Pro Forma'!$K$10)),),"Choose mgt fee")))</f>
        <v>-50262</v>
      </c>
      <c r="G22" s="18">
        <f>IF(AND('Part VI-Pro Forma'!$G$9="Yes",'Part VI-Pro Forma'!$G$10="Yes"),"Choose One!",IF('Part VI-Pro Forma'!$G$9="Yes",ROUND((-$K$9*(1+'Part VI-Pro Forma'!$B$7)^('Part VI-Pro Forma'!G14-1)),),IF('Part VI-Pro Forma'!$G$10="Yes",ROUND((-(SUM(G15:G18)*'Part VI-Pro Forma'!$K$10)),),"Choose mgt fee")))</f>
        <v>-51267</v>
      </c>
      <c r="H22" s="18">
        <f>IF(AND('Part VI-Pro Forma'!$G$9="Yes",'Part VI-Pro Forma'!$G$10="Yes"),"Choose One!",IF('Part VI-Pro Forma'!$G$9="Yes",ROUND((-$K$9*(1+'Part VI-Pro Forma'!$B$7)^('Part VI-Pro Forma'!H14-1)),),IF('Part VI-Pro Forma'!$G$10="Yes",ROUND((-(SUM(H15:H18)*'Part VI-Pro Forma'!$K$10)),),"Choose mgt fee")))</f>
        <v>-52293</v>
      </c>
      <c r="I22" s="18">
        <f>IF(AND('Part VI-Pro Forma'!$G$9="Yes",'Part VI-Pro Forma'!$G$10="Yes"),"Choose One!",IF('Part VI-Pro Forma'!$G$9="Yes",ROUND((-$K$9*(1+'Part VI-Pro Forma'!$B$7)^('Part VI-Pro Forma'!I14-1)),),IF('Part VI-Pro Forma'!$G$10="Yes",ROUND((-(SUM(I15:I18)*'Part VI-Pro Forma'!$K$10)),),"Choose mgt fee")))</f>
        <v>-53339</v>
      </c>
      <c r="J22" s="18">
        <f>IF(AND('Part VI-Pro Forma'!$G$9="Yes",'Part VI-Pro Forma'!$G$10="Yes"),"Choose One!",IF('Part VI-Pro Forma'!$G$9="Yes",ROUND((-$K$9*(1+'Part VI-Pro Forma'!$B$7)^('Part VI-Pro Forma'!J14-1)),),IF('Part VI-Pro Forma'!$G$10="Yes",ROUND((-(SUM(J15:J18)*'Part VI-Pro Forma'!$K$10)),),"Choose mgt fee")))</f>
        <v>-54405</v>
      </c>
      <c r="K22" s="19">
        <f>IF(AND('Part VI-Pro Forma'!$G$9="Yes",'Part VI-Pro Forma'!$G$10="Yes"),"Choose One!",IF('Part VI-Pro Forma'!$G$9="Yes",ROUND((-$K$9*(1+'Part VI-Pro Forma'!$B$7)^('Part VI-Pro Forma'!K14-1)),),IF('Part VI-Pro Forma'!$G$10="Yes",ROUND((-(SUM(K15:K18)*'Part VI-Pro Forma'!$K$10)),),"Choose mgt fee")))</f>
        <v>-55494</v>
      </c>
      <c r="N22" s="3453"/>
      <c r="O22" s="3455"/>
      <c r="Q22" s="47">
        <v>2</v>
      </c>
      <c r="R22" s="856">
        <f>-SUM(B32:C32)</f>
        <v>275270.01766354556</v>
      </c>
      <c r="S22" s="856">
        <f>SUM(B33:C33)+R22</f>
        <v>275270.01766354556</v>
      </c>
      <c r="Z22" s="1630" t="s">
        <v>4359</v>
      </c>
      <c r="AA22" s="1632">
        <v>22</v>
      </c>
    </row>
    <row r="23" spans="1:27" ht="13.35" customHeight="1">
      <c r="A23" s="17" t="s">
        <v>1127</v>
      </c>
      <c r="B23" s="18">
        <f>-('Part V-Revenues &amp; Expenses'!$Q$238)</f>
        <v>-24000</v>
      </c>
      <c r="C23" s="18">
        <f t="shared" ref="C23:K23" si="6">$B$23*(1+$B$8)^(C14-1)</f>
        <v>-24720</v>
      </c>
      <c r="D23" s="18">
        <f t="shared" si="6"/>
        <v>-25461.599999999999</v>
      </c>
      <c r="E23" s="18">
        <f t="shared" si="6"/>
        <v>-26225.448</v>
      </c>
      <c r="F23" s="18">
        <f t="shared" si="6"/>
        <v>-27012.211439999999</v>
      </c>
      <c r="G23" s="18">
        <f t="shared" si="6"/>
        <v>-27822.577783199995</v>
      </c>
      <c r="H23" s="18">
        <f t="shared" si="6"/>
        <v>-28657.255116695997</v>
      </c>
      <c r="I23" s="18">
        <f t="shared" si="6"/>
        <v>-29516.97277019688</v>
      </c>
      <c r="J23" s="18">
        <f t="shared" si="6"/>
        <v>-30402.481953302784</v>
      </c>
      <c r="K23" s="19">
        <f t="shared" si="6"/>
        <v>-31314.556411901867</v>
      </c>
      <c r="N23" s="3453"/>
      <c r="O23" s="3455"/>
      <c r="Q23" s="47">
        <v>3</v>
      </c>
      <c r="R23" s="856">
        <f>-SUM(B32:D32)</f>
        <v>281572</v>
      </c>
      <c r="S23" s="856">
        <f>SUM(B33:D33)+R23</f>
        <v>281572.10777531849</v>
      </c>
      <c r="Z23" s="1630" t="s">
        <v>4359</v>
      </c>
      <c r="AA23" s="1632">
        <v>23</v>
      </c>
    </row>
    <row r="24" spans="1:27" ht="13.35" customHeight="1">
      <c r="A24" s="340" t="s">
        <v>3714</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3"/>
      <c r="O24" s="3455"/>
      <c r="Q24" s="92">
        <v>4</v>
      </c>
      <c r="R24" s="856">
        <f>-SUM(B32:E32)</f>
        <v>281572</v>
      </c>
      <c r="S24" s="856">
        <f>SUM(B33:E33)+R24</f>
        <v>356520.90337480319</v>
      </c>
      <c r="Z24" s="1630" t="s">
        <v>4359</v>
      </c>
      <c r="AA24" s="1632">
        <v>24</v>
      </c>
    </row>
    <row r="25" spans="1:27" ht="13.35" customHeight="1">
      <c r="A25" s="17" t="s">
        <v>1128</v>
      </c>
      <c r="B25" s="18">
        <f>SUM(B20:B24)</f>
        <v>547028.19999999995</v>
      </c>
      <c r="C25" s="18">
        <f t="shared" ref="C25:J25" si="7">SUM(C20:C24)</f>
        <v>552295.46400000015</v>
      </c>
      <c r="D25" s="18">
        <f t="shared" si="7"/>
        <v>557497.41328000021</v>
      </c>
      <c r="E25" s="18">
        <f t="shared" si="7"/>
        <v>562627.01494559995</v>
      </c>
      <c r="F25" s="18">
        <f t="shared" si="7"/>
        <v>567679.96224651195</v>
      </c>
      <c r="G25" s="18">
        <f t="shared" si="7"/>
        <v>572647.66450350243</v>
      </c>
      <c r="H25" s="18">
        <f t="shared" si="7"/>
        <v>577522.23669599416</v>
      </c>
      <c r="I25" s="18">
        <f t="shared" si="7"/>
        <v>582297.48869940836</v>
      </c>
      <c r="J25" s="18">
        <f t="shared" si="7"/>
        <v>586965.91416097619</v>
      </c>
      <c r="K25" s="1156">
        <f>SUM(K20:K24)</f>
        <v>591516.67900240212</v>
      </c>
      <c r="N25" s="3453"/>
      <c r="O25" s="3455"/>
      <c r="Q25" s="92">
        <v>5</v>
      </c>
      <c r="R25" s="856">
        <f>-SUM(B32:F32)</f>
        <v>281572</v>
      </c>
      <c r="S25" s="856">
        <f>SUM(B33:F33)+R25</f>
        <v>433832.53050064214</v>
      </c>
      <c r="Z25" s="1630" t="s">
        <v>4359</v>
      </c>
      <c r="AA25" s="1632">
        <v>25</v>
      </c>
    </row>
    <row r="26" spans="1:27" ht="13.35" customHeight="1">
      <c r="A26" s="340" t="s">
        <v>1484</v>
      </c>
      <c r="B26" s="341">
        <f>IF('Part II-Sources of Funds'!$P$40="", 0,-'Part II-Sources of Funds'!$P$40)</f>
        <v>-406951.82316822727</v>
      </c>
      <c r="C26" s="341">
        <f>IF('Part II-Sources of Funds'!$P$40="", 0,-'Part II-Sources of Funds'!$P$40)</f>
        <v>-406951.82316822727</v>
      </c>
      <c r="D26" s="341">
        <f>IF('Part II-Sources of Funds'!$P$40="", 0,-'Part II-Sources of Funds'!$P$40)</f>
        <v>-406951.82316822727</v>
      </c>
      <c r="E26" s="341">
        <f>IF('Part II-Sources of Funds'!$P$40="", 0,-'Part II-Sources of Funds'!$P$40)</f>
        <v>-406951.82316822727</v>
      </c>
      <c r="F26" s="341">
        <f>IF('Part II-Sources of Funds'!$P$40="", 0,-'Part II-Sources of Funds'!$P$40)</f>
        <v>-406951.82316822727</v>
      </c>
      <c r="G26" s="341">
        <f>IF('Part II-Sources of Funds'!$P$40="", 0,-'Part II-Sources of Funds'!$P$40)</f>
        <v>-406951.82316822727</v>
      </c>
      <c r="H26" s="341">
        <f>IF('Part II-Sources of Funds'!$P$40="", 0,-'Part II-Sources of Funds'!$P$40)</f>
        <v>-406951.82316822727</v>
      </c>
      <c r="I26" s="341">
        <f>IF('Part II-Sources of Funds'!$P$40="", 0,-'Part II-Sources of Funds'!$P$40)</f>
        <v>-406951.82316822727</v>
      </c>
      <c r="J26" s="341">
        <f>IF('Part II-Sources of Funds'!$P$40="", 0,-'Part II-Sources of Funds'!$P$40)</f>
        <v>-406951.82316822727</v>
      </c>
      <c r="K26" s="341">
        <f>IF('Part II-Sources of Funds'!$P$40="", 0,-'Part II-Sources of Funds'!$P$40)</f>
        <v>-406951.82316822727</v>
      </c>
      <c r="N26" s="3453"/>
      <c r="O26" s="3455"/>
      <c r="Q26" s="92">
        <v>6</v>
      </c>
      <c r="R26" s="856">
        <f>-SUM(B32:G32)</f>
        <v>281572</v>
      </c>
      <c r="S26" s="856">
        <f>SUM(B33:G33)+R26</f>
        <v>513459.30469789251</v>
      </c>
      <c r="Z26" s="1630" t="s">
        <v>4359</v>
      </c>
      <c r="AA26" s="1632">
        <v>26</v>
      </c>
    </row>
    <row r="27" spans="1:27" ht="13.35" customHeight="1">
      <c r="A27" s="340" t="s">
        <v>1485</v>
      </c>
      <c r="B27" s="178">
        <v>0</v>
      </c>
      <c r="C27" s="178">
        <v>0</v>
      </c>
      <c r="D27" s="178">
        <v>-138939</v>
      </c>
      <c r="E27" s="178">
        <v>-75262.761177887995</v>
      </c>
      <c r="F27" s="178">
        <v>-77788.967902445685</v>
      </c>
      <c r="G27" s="178">
        <v>-80272.696766524779</v>
      </c>
      <c r="H27" s="178">
        <v>-82710.308153065984</v>
      </c>
      <c r="I27" s="178">
        <v>-85098.005950874634</v>
      </c>
      <c r="J27" s="178">
        <v>-87431.831913681759</v>
      </c>
      <c r="K27" s="178">
        <v>-89707.659831058598</v>
      </c>
      <c r="N27" s="3453"/>
      <c r="O27" s="3455"/>
      <c r="Q27" s="92">
        <v>7</v>
      </c>
      <c r="R27" s="856">
        <f>-SUM(B32:H32)</f>
        <v>281572</v>
      </c>
      <c r="S27" s="856">
        <f>SUM(B33:H33)+R27</f>
        <v>595349.14858994843</v>
      </c>
      <c r="Z27" s="1630" t="s">
        <v>4359</v>
      </c>
      <c r="AA27" s="1632">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3"/>
      <c r="O28" s="3455"/>
      <c r="Q28" s="92">
        <v>8</v>
      </c>
      <c r="R28" s="856">
        <f>-SUM(B32:I32)</f>
        <v>281572</v>
      </c>
      <c r="S28" s="856">
        <f>SUM(B33:I33)+R28</f>
        <v>679447.4388431306</v>
      </c>
      <c r="Z28" s="1630" t="s">
        <v>4359</v>
      </c>
      <c r="AA28" s="1632">
        <v>28</v>
      </c>
    </row>
    <row r="29" spans="1:27" ht="13.35" customHeight="1">
      <c r="A29" s="340" t="s">
        <v>3202</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3"/>
      <c r="O29" s="3455"/>
      <c r="Q29" s="92">
        <v>9</v>
      </c>
      <c r="R29" s="856">
        <f>-SUM(B32:J32)</f>
        <v>281572</v>
      </c>
      <c r="S29" s="856">
        <f>SUM(B33:J33)+R29</f>
        <v>765695.84751525964</v>
      </c>
      <c r="Z29" s="1630" t="s">
        <v>4359</v>
      </c>
      <c r="AA29" s="1632">
        <v>29</v>
      </c>
    </row>
    <row r="30" spans="1:27" ht="13.35" customHeight="1">
      <c r="A30" s="17" t="s">
        <v>710</v>
      </c>
      <c r="B30" s="138"/>
      <c r="C30" s="138"/>
      <c r="D30" s="138"/>
      <c r="E30" s="138"/>
      <c r="F30" s="138"/>
      <c r="G30" s="138"/>
      <c r="H30" s="138"/>
      <c r="I30" s="138"/>
      <c r="J30" s="138"/>
      <c r="K30" s="138"/>
      <c r="N30" s="3453"/>
      <c r="O30" s="3455"/>
      <c r="Q30" s="92">
        <v>10</v>
      </c>
      <c r="R30" s="856">
        <f>-SUM(B32:K32)</f>
        <v>281572</v>
      </c>
      <c r="S30" s="856">
        <f>SUM(B33:K33)+R30</f>
        <v>854029.17759922962</v>
      </c>
      <c r="Z30" s="1630" t="s">
        <v>4359</v>
      </c>
      <c r="AA30" s="1632">
        <v>30</v>
      </c>
    </row>
    <row r="31" spans="1:27" ht="13.35" customHeight="1">
      <c r="A31" s="340" t="s">
        <v>1094</v>
      </c>
      <c r="B31" s="894">
        <f>-$G$6</f>
        <v>-5000</v>
      </c>
      <c r="C31" s="894">
        <f t="shared" ref="C31:K31" si="8">B31*(1+$B$7)</f>
        <v>-5150</v>
      </c>
      <c r="D31" s="894">
        <f t="shared" si="8"/>
        <v>-5304.5</v>
      </c>
      <c r="E31" s="894">
        <f t="shared" si="8"/>
        <v>-5463.6350000000002</v>
      </c>
      <c r="F31" s="894">
        <f t="shared" si="8"/>
        <v>-5627.5440500000004</v>
      </c>
      <c r="G31" s="894">
        <f t="shared" si="8"/>
        <v>-5796.3703715000001</v>
      </c>
      <c r="H31" s="894">
        <f t="shared" si="8"/>
        <v>-5970.2614826449999</v>
      </c>
      <c r="I31" s="894">
        <f t="shared" si="8"/>
        <v>-6149.3693271243501</v>
      </c>
      <c r="J31" s="894">
        <f t="shared" si="8"/>
        <v>-6333.8504069380806</v>
      </c>
      <c r="K31" s="894">
        <f t="shared" si="8"/>
        <v>-6523.865919146223</v>
      </c>
      <c r="N31" s="3453"/>
      <c r="O31" s="3455"/>
      <c r="Q31" s="92">
        <v>11</v>
      </c>
      <c r="R31" s="856">
        <f>-SUM(B32:K32)-B64</f>
        <v>281572</v>
      </c>
      <c r="S31" s="856">
        <f>SUM(B33:K33)+B65+R31</f>
        <v>944381.19256652857</v>
      </c>
      <c r="Z31" s="1630" t="s">
        <v>4359</v>
      </c>
      <c r="AA31" s="1632">
        <v>31</v>
      </c>
    </row>
    <row r="32" spans="1:27" ht="13.35" customHeight="1">
      <c r="A32" s="340" t="s">
        <v>3275</v>
      </c>
      <c r="B32" s="179">
        <f>-MIN(SUM(B25:B31),'Part II-Sources of Funds'!I45:J45)</f>
        <v>-135076.37683177268</v>
      </c>
      <c r="C32" s="179">
        <f t="shared" ref="C32:K32" si="9">-MIN(SUM(C25:C31),B44)</f>
        <v>-140193.64083177288</v>
      </c>
      <c r="D32" s="179">
        <f t="shared" si="9"/>
        <v>-6301.9823364544427</v>
      </c>
      <c r="E32" s="179">
        <f t="shared" si="9"/>
        <v>0</v>
      </c>
      <c r="F32" s="179">
        <f t="shared" si="9"/>
        <v>0</v>
      </c>
      <c r="G32" s="179">
        <f t="shared" si="9"/>
        <v>0</v>
      </c>
      <c r="H32" s="179">
        <f t="shared" si="9"/>
        <v>0</v>
      </c>
      <c r="I32" s="179">
        <f t="shared" si="9"/>
        <v>0</v>
      </c>
      <c r="J32" s="179">
        <f t="shared" si="9"/>
        <v>0</v>
      </c>
      <c r="K32" s="179">
        <f t="shared" si="9"/>
        <v>0</v>
      </c>
      <c r="N32" s="3453"/>
      <c r="O32" s="3455"/>
      <c r="Q32" s="92">
        <v>12</v>
      </c>
      <c r="R32" s="856">
        <f>-SUM(B32:K32) - SUM(B64:C64)</f>
        <v>281572</v>
      </c>
      <c r="S32" s="856">
        <f>SUM(B33:K33) + SUM(B65:C65)+R32</f>
        <v>1036678.4397093714</v>
      </c>
      <c r="Z32" s="1630" t="s">
        <v>4359</v>
      </c>
      <c r="AA32" s="1632">
        <v>32</v>
      </c>
    </row>
    <row r="33" spans="1:27" ht="13.35" customHeight="1">
      <c r="A33" s="17" t="s">
        <v>1095</v>
      </c>
      <c r="B33" s="18">
        <f t="shared" ref="B33:K33" si="10">SUM(B25:B32)</f>
        <v>0</v>
      </c>
      <c r="C33" s="18">
        <f t="shared" si="10"/>
        <v>0</v>
      </c>
      <c r="D33" s="18">
        <f t="shared" si="10"/>
        <v>0.10777531849453226</v>
      </c>
      <c r="E33" s="18">
        <f t="shared" si="10"/>
        <v>74948.795599484685</v>
      </c>
      <c r="F33" s="18">
        <f t="shared" si="10"/>
        <v>77311.62712583899</v>
      </c>
      <c r="G33" s="18">
        <f t="shared" si="10"/>
        <v>79626.774197250372</v>
      </c>
      <c r="H33" s="18">
        <f t="shared" si="10"/>
        <v>81889.843892055898</v>
      </c>
      <c r="I33" s="18">
        <f t="shared" si="10"/>
        <v>84098.290253182102</v>
      </c>
      <c r="J33" s="18">
        <f t="shared" si="10"/>
        <v>86248.408672129066</v>
      </c>
      <c r="K33" s="19">
        <f t="shared" si="10"/>
        <v>88333.330083970024</v>
      </c>
      <c r="N33" s="3453"/>
      <c r="O33" s="3455"/>
      <c r="Q33" s="92">
        <v>13</v>
      </c>
      <c r="R33" s="856">
        <f>-SUM(B32:K32) - SUM(B64:D64)</f>
        <v>281572</v>
      </c>
      <c r="S33" s="856">
        <f>SUM(B33:K33) + SUM(B65:D65)+R33</f>
        <v>1130843.0670736544</v>
      </c>
      <c r="Z33" s="1630" t="s">
        <v>4359</v>
      </c>
      <c r="AA33" s="1632">
        <v>33</v>
      </c>
    </row>
    <row r="34" spans="1:27" ht="13.35" customHeight="1">
      <c r="A34" s="17" t="str">
        <f>IF('Part II-Sources of Funds'!$E$40 = "Neither", "", "DCR Mortgage A")</f>
        <v>DCR Mortgage A</v>
      </c>
      <c r="B34" s="20">
        <f t="shared" ref="B34:K34" si="11">IF(B26=0,"",-B25/B26)</f>
        <v>1.3442087462374321</v>
      </c>
      <c r="C34" s="20">
        <f t="shared" si="11"/>
        <v>1.3571519589228875</v>
      </c>
      <c r="D34" s="20">
        <f t="shared" si="11"/>
        <v>1.3699346741826486</v>
      </c>
      <c r="E34" s="20">
        <f t="shared" si="11"/>
        <v>1.3825396101322271</v>
      </c>
      <c r="F34" s="20">
        <f t="shared" si="11"/>
        <v>1.3949561838228755</v>
      </c>
      <c r="G34" s="20">
        <f t="shared" si="11"/>
        <v>1.4071632854358271</v>
      </c>
      <c r="H34" s="20">
        <f t="shared" si="11"/>
        <v>1.4191415391626243</v>
      </c>
      <c r="I34" s="20">
        <f t="shared" si="11"/>
        <v>1.4308757340514384</v>
      </c>
      <c r="J34" s="20">
        <f t="shared" si="11"/>
        <v>1.442347424791691</v>
      </c>
      <c r="K34" s="21">
        <f t="shared" si="11"/>
        <v>1.4535299888750681</v>
      </c>
      <c r="N34" s="3453"/>
      <c r="O34" s="3455"/>
      <c r="Q34" s="92">
        <v>14</v>
      </c>
      <c r="R34" s="856">
        <f>-SUM(B32:K32) - SUM(B64:E64)</f>
        <v>281572</v>
      </c>
      <c r="S34" s="856">
        <f>SUM(B33:K33) + SUM(B65:E65)+R34</f>
        <v>1226792.6337682623</v>
      </c>
      <c r="Z34" s="1630" t="s">
        <v>4359</v>
      </c>
      <c r="AA34" s="1632">
        <v>34</v>
      </c>
    </row>
    <row r="35" spans="1:27" ht="13.35" customHeight="1">
      <c r="A35" s="17" t="str">
        <f>IF('Part II-Sources of Funds'!$E$40 = "Neither", "", "DCR Mortgage B")</f>
        <v>DCR Mortgage B</v>
      </c>
      <c r="B35" s="20" t="str">
        <f t="shared" ref="B35:K35" si="12">IF(B27=0,"",-(B25+B26)/B27)</f>
        <v/>
      </c>
      <c r="C35" s="20" t="str">
        <f t="shared" si="12"/>
        <v/>
      </c>
      <c r="D35" s="20">
        <f t="shared" si="12"/>
        <v>1.0835373085438424</v>
      </c>
      <c r="E35" s="20">
        <f t="shared" si="12"/>
        <v>2.0684225417856399</v>
      </c>
      <c r="F35" s="20">
        <f t="shared" si="12"/>
        <v>2.0662073737737736</v>
      </c>
      <c r="G35" s="20">
        <f t="shared" si="12"/>
        <v>2.0641618882844539</v>
      </c>
      <c r="H35" s="20">
        <f t="shared" si="12"/>
        <v>2.0622630641407422</v>
      </c>
      <c r="I35" s="20">
        <f t="shared" si="12"/>
        <v>2.060514386581568</v>
      </c>
      <c r="J35" s="20">
        <f t="shared" si="12"/>
        <v>2.0589079177761049</v>
      </c>
      <c r="K35" s="21">
        <f t="shared" si="12"/>
        <v>2.0574035281017862</v>
      </c>
      <c r="N35" s="3453"/>
      <c r="O35" s="3455"/>
      <c r="Q35" s="92">
        <v>15</v>
      </c>
      <c r="R35" s="856">
        <f>-SUM(B32:K32) - SUM(B64:F64)</f>
        <v>281572</v>
      </c>
      <c r="S35" s="856">
        <f>SUM(B33:K33) + SUM(B65:F65)+R35</f>
        <v>1324439.9134293927</v>
      </c>
      <c r="Z35" s="1630" t="s">
        <v>4359</v>
      </c>
      <c r="AA35" s="1632">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453"/>
      <c r="O36" s="3455"/>
      <c r="Q36" s="47">
        <v>16</v>
      </c>
      <c r="R36" s="856">
        <f>-SUM(B32:K32) - SUM(B64:G64)</f>
        <v>281572</v>
      </c>
      <c r="S36" s="856">
        <f>SUM(B33:K33) + SUM(B65:G65)+R36</f>
        <v>1428905.5276944565</v>
      </c>
      <c r="Z36" s="1630" t="s">
        <v>4359</v>
      </c>
      <c r="AA36" s="1632">
        <v>36</v>
      </c>
    </row>
    <row r="37" spans="1:27" ht="13.35" customHeight="1">
      <c r="A37" s="17" t="s">
        <v>728</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453"/>
      <c r="O37" s="3455"/>
      <c r="Q37" s="47">
        <v>17</v>
      </c>
      <c r="R37" s="856">
        <f>-SUM(B32:K32) - SUM(B64:H64)</f>
        <v>281572</v>
      </c>
      <c r="S37" s="856">
        <f>SUM(B33:K33) + SUM(B65:H65)+R37</f>
        <v>1535109.9191472903</v>
      </c>
      <c r="Z37" s="1630" t="s">
        <v>4359</v>
      </c>
      <c r="AA37" s="1632">
        <v>37</v>
      </c>
    </row>
    <row r="38" spans="1:27" ht="13.35" customHeight="1">
      <c r="A38" s="340" t="s">
        <v>3129</v>
      </c>
      <c r="B38" s="20">
        <f t="shared" ref="B38:K38" si="15">IF(AND(B26=0,B27=0,B28=0,B29=0),"",-B25/(B26+B27+B28+B29))</f>
        <v>1.3442087462374321</v>
      </c>
      <c r="C38" s="20">
        <f t="shared" si="15"/>
        <v>1.3571519589228875</v>
      </c>
      <c r="D38" s="20">
        <f t="shared" si="15"/>
        <v>1.02126174249351</v>
      </c>
      <c r="E38" s="20">
        <f t="shared" si="15"/>
        <v>1.1667565295822071</v>
      </c>
      <c r="F38" s="20">
        <f t="shared" si="15"/>
        <v>1.1711000450212716</v>
      </c>
      <c r="G38" s="20">
        <f t="shared" si="15"/>
        <v>1.1753260377375714</v>
      </c>
      <c r="H38" s="20">
        <f t="shared" si="15"/>
        <v>1.1794300595343594</v>
      </c>
      <c r="I38" s="20">
        <f t="shared" si="15"/>
        <v>1.1834116267083628</v>
      </c>
      <c r="J38" s="20">
        <f t="shared" si="15"/>
        <v>1.1872680419900374</v>
      </c>
      <c r="K38" s="21">
        <f t="shared" si="15"/>
        <v>1.1909904053986475</v>
      </c>
      <c r="N38" s="3453"/>
      <c r="O38" s="3455"/>
      <c r="Q38" s="47">
        <v>18</v>
      </c>
      <c r="R38" s="856">
        <f>-SUM(B32:K32) - SUM(B64:I64)</f>
        <v>281572</v>
      </c>
      <c r="S38" s="856">
        <f>SUM(B33:K33) + SUM(B65:I65)+R38</f>
        <v>1642955.2647248222</v>
      </c>
      <c r="Z38" s="1630" t="s">
        <v>4359</v>
      </c>
      <c r="AA38" s="1632">
        <v>38</v>
      </c>
    </row>
    <row r="39" spans="1:27" ht="13.35" customHeight="1">
      <c r="A39" s="17" t="s">
        <v>717</v>
      </c>
      <c r="B39" s="220">
        <f t="shared" ref="B39:K39" si="16">IF(OR(B22="Choose mgt fee",B22="Choose One!"),"",(B15+B16+B17+B18+B19) / -(B21+B22+B23))</f>
        <v>1.8911648895875928</v>
      </c>
      <c r="C39" s="220">
        <f t="shared" si="16"/>
        <v>1.8741826159215558</v>
      </c>
      <c r="D39" s="220">
        <f t="shared" si="16"/>
        <v>1.8573392459617908</v>
      </c>
      <c r="E39" s="220">
        <f t="shared" si="16"/>
        <v>1.8406322564569164</v>
      </c>
      <c r="F39" s="220">
        <f t="shared" si="16"/>
        <v>1.8240673364444953</v>
      </c>
      <c r="G39" s="220">
        <f t="shared" si="16"/>
        <v>1.8076390379919896</v>
      </c>
      <c r="H39" s="220">
        <f t="shared" si="16"/>
        <v>1.7913450305684515</v>
      </c>
      <c r="I39" s="220">
        <f t="shared" si="16"/>
        <v>1.7751879462620965</v>
      </c>
      <c r="J39" s="220">
        <f t="shared" si="16"/>
        <v>1.7591676511907604</v>
      </c>
      <c r="K39" s="221">
        <f t="shared" si="16"/>
        <v>1.7432773317035108</v>
      </c>
      <c r="N39" s="3453"/>
      <c r="O39" s="3455"/>
      <c r="Q39" s="92">
        <v>19</v>
      </c>
      <c r="R39" s="856">
        <f>-SUM(B32:K32) - SUM(B64:J64)</f>
        <v>281572</v>
      </c>
      <c r="S39" s="856">
        <f>SUM(B33:K33) + SUM(B65:J65)+R39</f>
        <v>1752338.3069445142</v>
      </c>
      <c r="Z39" s="1630" t="s">
        <v>4359</v>
      </c>
      <c r="AA39" s="1632">
        <v>39</v>
      </c>
    </row>
    <row r="40" spans="1:27" ht="13.35" customHeight="1">
      <c r="A40" s="340" t="s">
        <v>2399</v>
      </c>
      <c r="B40" s="177">
        <f>IF('Part II-Sources of Funds'!$I$40="","",-FV('Part II-Sources of Funds'!$K$40/12,12,B26/12,'Part II-Sources of Funds'!$I$40))</f>
        <v>5178155.1926562255</v>
      </c>
      <c r="C40" s="177">
        <f>IF('Part II-Sources of Funds'!$I$40="","",-FV('Part II-Sources of Funds'!$K$40/12,12,C26/12,B40))</f>
        <v>5154633.2248975001</v>
      </c>
      <c r="D40" s="177">
        <f>IF('Part II-Sources of Funds'!$I$40="","",-FV('Part II-Sources of Funds'!$K$40/12,12,D26/12,C40))</f>
        <v>5129305.3307881393</v>
      </c>
      <c r="E40" s="177">
        <f>IF('Part II-Sources of Funds'!$I$40="","",-FV('Part II-Sources of Funds'!$K$40/12,12,E26/12,D40))</f>
        <v>5102032.8582384298</v>
      </c>
      <c r="F40" s="177">
        <f>IF('Part II-Sources of Funds'!$I$40="","",-FV('Part II-Sources of Funds'!$K$40/12,12,F26/12,E40))</f>
        <v>5072666.5099836895</v>
      </c>
      <c r="G40" s="177">
        <f>IF('Part II-Sources of Funds'!$I$40="","",-FV('Part II-Sources of Funds'!$K$40/12,12,G26/12,F40))</f>
        <v>5041045.5262886165</v>
      </c>
      <c r="H40" s="177">
        <f>IF('Part II-Sources of Funds'!$I$40="","",-FV('Part II-Sources of Funds'!$K$40/12,12,H26/12,G40))</f>
        <v>5006996.8049028162</v>
      </c>
      <c r="I40" s="177">
        <f>IF('Part II-Sources of Funds'!$I$40="","",-FV('Part II-Sources of Funds'!$K$40/12,12,I26/12,H40))</f>
        <v>4970333.9534498891</v>
      </c>
      <c r="J40" s="177">
        <f>IF('Part II-Sources of Funds'!$I$40="","",-FV('Part II-Sources of Funds'!$K$40/12,12,J26/12,I40))</f>
        <v>4930856.2690625992</v>
      </c>
      <c r="K40" s="177">
        <f>IF('Part II-Sources of Funds'!$I$40="","",-FV('Part II-Sources of Funds'!$K$40/12,12,K26/12,J40))</f>
        <v>4888347.6396783441</v>
      </c>
      <c r="N40" s="3453"/>
      <c r="O40" s="3455"/>
      <c r="Q40" s="92">
        <v>20</v>
      </c>
      <c r="R40" s="856">
        <f>-SUM(B32:K32) - SUM(B64:K64)</f>
        <v>281572</v>
      </c>
      <c r="S40" s="856">
        <f>SUM(B33:K33) + SUM(B65:K65)+R40</f>
        <v>1863149.1258772272</v>
      </c>
      <c r="Z40" s="1630" t="s">
        <v>4359</v>
      </c>
      <c r="AA40" s="1632">
        <v>40</v>
      </c>
    </row>
    <row r="41" spans="1:27" ht="13.35" customHeight="1">
      <c r="A41" s="340" t="s">
        <v>2400</v>
      </c>
      <c r="B41" s="178">
        <f>IF('Part II-Sources of Funds'!$I$41="","",-FV('Part II-Sources of Funds'!$K$41/12,12,B27/12,'Part II-Sources of Funds'!$I$41))</f>
        <v>1618897.3019823532</v>
      </c>
      <c r="C41" s="178">
        <f>IF('Part II-Sources of Funds'!$I$41="","",-FV('Part II-Sources of Funds'!$K$41/12,12,C27/12,B41))</f>
        <v>1643348.4078766389</v>
      </c>
      <c r="D41" s="178">
        <f>IF('Part II-Sources of Funds'!$I$41="","",-FV('Part II-Sources of Funds'!$K$41/12,12,D27/12,C41))</f>
        <v>1528270.6155509066</v>
      </c>
      <c r="E41" s="178">
        <f>IF('Part II-Sources of Funds'!$I$41="","",-FV('Part II-Sources of Funds'!$K$41/12,12,E27/12,D41))</f>
        <v>1475570.5815194943</v>
      </c>
      <c r="F41" s="178">
        <f>IF('Part II-Sources of Funds'!$I$41="","",-FV('Part II-Sources of Funds'!$K$41/12,12,F27/12,E41))</f>
        <v>1419530.9426132194</v>
      </c>
      <c r="G41" s="178">
        <f>IF('Part II-Sources of Funds'!$I$41="","",-FV('Part II-Sources of Funds'!$K$41/12,12,G27/12,F41))</f>
        <v>1360144.0300391878</v>
      </c>
      <c r="H41" s="178">
        <f>IF('Part II-Sources of Funds'!$I$41="","",-FV('Part II-Sources of Funds'!$K$41/12,12,H27/12,G41))</f>
        <v>1297405.723922444</v>
      </c>
      <c r="I41" s="178">
        <f>IF('Part II-Sources of Funds'!$I$41="","",-FV('Part II-Sources of Funds'!$K$41/12,12,I27/12,H41))</f>
        <v>1231315.6644817789</v>
      </c>
      <c r="J41" s="178">
        <f>IF('Part II-Sources of Funds'!$I$41="","",-FV('Part II-Sources of Funds'!$K$41/12,12,J27/12,I41))</f>
        <v>1161877.4720749264</v>
      </c>
      <c r="K41" s="178">
        <f>IF('Part II-Sources of Funds'!$I$41="","",-FV('Part II-Sources of Funds'!$K$41/12,12,K27/12,J41))</f>
        <v>1089098.9764365535</v>
      </c>
      <c r="N41" s="3453"/>
      <c r="O41" s="3455"/>
      <c r="Z41" s="1630" t="s">
        <v>4359</v>
      </c>
      <c r="AA41" s="1632">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3"/>
      <c r="O42" s="3455"/>
      <c r="Z42" s="1630" t="s">
        <v>4359</v>
      </c>
      <c r="AA42" s="1632">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3"/>
      <c r="O43" s="3455"/>
      <c r="Z43" s="1630" t="s">
        <v>4359</v>
      </c>
      <c r="AA43" s="1632">
        <v>43</v>
      </c>
    </row>
    <row r="44" spans="1:27" ht="13.35" customHeight="1">
      <c r="A44" s="340" t="s">
        <v>3276</v>
      </c>
      <c r="B44" s="179">
        <f>IF('Part II-Sources of Funds'!$I$45="","",-FV('Part II-Sources of Funds'!$K$45/12,12,B32/12,'Part II-Sources of Funds'!$I$45))</f>
        <v>146495.62316822732</v>
      </c>
      <c r="C44" s="179">
        <f>IF('Part II-Sources of Funds'!$I$45="","",IF(-FV('Part II-Sources of Funds'!$K$45/12,12,C32/12,B44)&gt;0,-FV('Part II-Sources of Funds'!$K$45/12,12,C32/12,B44),0))</f>
        <v>6301.9823364544427</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6"/>
      <c r="O44" s="3468"/>
      <c r="Z44" s="1630" t="s">
        <v>4359</v>
      </c>
      <c r="AA44" s="1632">
        <v>44</v>
      </c>
    </row>
    <row r="45" spans="1:27" ht="4.3499999999999996" customHeight="1">
      <c r="B45" s="13"/>
      <c r="C45" s="13"/>
      <c r="D45" s="13"/>
      <c r="E45" s="13"/>
      <c r="F45" s="13"/>
      <c r="G45" s="13"/>
      <c r="H45" s="13"/>
      <c r="I45" s="13"/>
      <c r="J45" s="13"/>
      <c r="K45" s="13"/>
      <c r="AA45" s="1632">
        <v>45</v>
      </c>
    </row>
    <row r="46" spans="1:27" ht="14.65" customHeight="1">
      <c r="A46" s="10" t="s">
        <v>2278</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01" t="s">
        <v>2402</v>
      </c>
      <c r="O46" s="3101"/>
      <c r="AA46" s="1632">
        <v>46</v>
      </c>
    </row>
    <row r="47" spans="1:27" ht="13.35" customHeight="1">
      <c r="A47" s="14" t="s">
        <v>2209</v>
      </c>
      <c r="B47" s="15">
        <f t="shared" ref="B47:K47" si="18">$B$15*(1+$B$6)^(B46-1)</f>
        <v>1509895.248382306</v>
      </c>
      <c r="C47" s="15">
        <f t="shared" si="18"/>
        <v>1540093.1533499518</v>
      </c>
      <c r="D47" s="15">
        <f t="shared" si="18"/>
        <v>1570895.0164169511</v>
      </c>
      <c r="E47" s="15">
        <f t="shared" si="18"/>
        <v>1602312.9167452899</v>
      </c>
      <c r="F47" s="15">
        <f t="shared" si="18"/>
        <v>1634359.175080196</v>
      </c>
      <c r="G47" s="15">
        <f t="shared" si="18"/>
        <v>1667046.3585817993</v>
      </c>
      <c r="H47" s="15">
        <f t="shared" si="18"/>
        <v>1700387.2857534357</v>
      </c>
      <c r="I47" s="15">
        <f t="shared" si="18"/>
        <v>1734395.0314685046</v>
      </c>
      <c r="J47" s="15">
        <f t="shared" si="18"/>
        <v>1769082.9320978743</v>
      </c>
      <c r="K47" s="16">
        <f t="shared" si="18"/>
        <v>1804464.5907398318</v>
      </c>
      <c r="N47" s="3477"/>
      <c r="O47" s="3479"/>
      <c r="Z47" s="1630" t="s">
        <v>4360</v>
      </c>
      <c r="AA47" s="1632">
        <v>47</v>
      </c>
    </row>
    <row r="48" spans="1:27" ht="13.35" customHeight="1">
      <c r="A48" s="17" t="s">
        <v>951</v>
      </c>
      <c r="B48" s="18">
        <f t="shared" ref="B48:K48" si="19">$B$16*(1+$B$6)^(B46-1)</f>
        <v>11702.346431949669</v>
      </c>
      <c r="C48" s="18">
        <f t="shared" si="19"/>
        <v>11936.39336058866</v>
      </c>
      <c r="D48" s="18">
        <f t="shared" si="19"/>
        <v>12175.121227800435</v>
      </c>
      <c r="E48" s="18">
        <f t="shared" si="19"/>
        <v>12418.623652356442</v>
      </c>
      <c r="F48" s="18">
        <f t="shared" si="19"/>
        <v>12666.996125403573</v>
      </c>
      <c r="G48" s="18">
        <f t="shared" si="19"/>
        <v>12920.33604791164</v>
      </c>
      <c r="H48" s="18">
        <f t="shared" si="19"/>
        <v>13178.742768869875</v>
      </c>
      <c r="I48" s="18">
        <f t="shared" si="19"/>
        <v>13442.317624247275</v>
      </c>
      <c r="J48" s="18">
        <f t="shared" si="19"/>
        <v>13711.163976732218</v>
      </c>
      <c r="K48" s="19">
        <f t="shared" si="19"/>
        <v>13985.387256266862</v>
      </c>
      <c r="N48" s="3453"/>
      <c r="O48" s="3455"/>
      <c r="Z48" s="1630" t="s">
        <v>4360</v>
      </c>
      <c r="AA48" s="1632">
        <v>48</v>
      </c>
    </row>
    <row r="49" spans="1:27" ht="13.35" customHeight="1">
      <c r="A49" s="17" t="s">
        <v>2210</v>
      </c>
      <c r="B49" s="18">
        <f t="shared" ref="B49:K49" si="20">-(B47+B48)*$B$9</f>
        <v>-106511.8316369979</v>
      </c>
      <c r="C49" s="18">
        <f t="shared" si="20"/>
        <v>-108642.06826973785</v>
      </c>
      <c r="D49" s="18">
        <f t="shared" si="20"/>
        <v>-110814.90963513262</v>
      </c>
      <c r="E49" s="18">
        <f t="shared" si="20"/>
        <v>-113031.20782783526</v>
      </c>
      <c r="F49" s="18">
        <f t="shared" si="20"/>
        <v>-115291.83198439197</v>
      </c>
      <c r="G49" s="18">
        <f t="shared" si="20"/>
        <v>-117597.66862407977</v>
      </c>
      <c r="H49" s="18">
        <f t="shared" si="20"/>
        <v>-119949.62199656141</v>
      </c>
      <c r="I49" s="18">
        <f t="shared" si="20"/>
        <v>-122348.61443649263</v>
      </c>
      <c r="J49" s="18">
        <f t="shared" si="20"/>
        <v>-124795.58672522247</v>
      </c>
      <c r="K49" s="19">
        <f t="shared" si="20"/>
        <v>-127291.49845972691</v>
      </c>
      <c r="N49" s="3453"/>
      <c r="O49" s="3455"/>
      <c r="Z49" s="1630" t="s">
        <v>4360</v>
      </c>
      <c r="AA49" s="1632">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3"/>
      <c r="O50" s="3455"/>
      <c r="Z50" s="1630" t="s">
        <v>4360</v>
      </c>
      <c r="AA50" s="1632">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3"/>
      <c r="O51" s="3455"/>
      <c r="Z51" s="1630" t="s">
        <v>4360</v>
      </c>
      <c r="AA51" s="1632">
        <v>51</v>
      </c>
    </row>
    <row r="52" spans="1:27" ht="13.35" customHeight="1">
      <c r="A52" s="340" t="s">
        <v>3715</v>
      </c>
      <c r="B52" s="18">
        <f t="shared" ref="B52:K52" si="21">SUM(B47:B51)</f>
        <v>1415085.7631772577</v>
      </c>
      <c r="C52" s="18">
        <f t="shared" si="21"/>
        <v>1443387.4784408028</v>
      </c>
      <c r="D52" s="18">
        <f t="shared" si="21"/>
        <v>1472255.2280096188</v>
      </c>
      <c r="E52" s="18">
        <f t="shared" si="21"/>
        <v>1501700.332569811</v>
      </c>
      <c r="F52" s="18">
        <f t="shared" si="21"/>
        <v>1531734.3392212077</v>
      </c>
      <c r="G52" s="18">
        <f t="shared" si="21"/>
        <v>1562369.0260056311</v>
      </c>
      <c r="H52" s="18">
        <f t="shared" si="21"/>
        <v>1593616.4065257441</v>
      </c>
      <c r="I52" s="18">
        <f t="shared" si="21"/>
        <v>1625488.7346562592</v>
      </c>
      <c r="J52" s="18">
        <f t="shared" si="21"/>
        <v>1657998.5093493841</v>
      </c>
      <c r="K52" s="19">
        <f t="shared" si="21"/>
        <v>1691158.4795363718</v>
      </c>
      <c r="N52" s="3453"/>
      <c r="O52" s="3455"/>
      <c r="Z52" s="1630" t="s">
        <v>4360</v>
      </c>
      <c r="AA52" s="1632">
        <v>52</v>
      </c>
    </row>
    <row r="53" spans="1:27" ht="13.35" customHeight="1">
      <c r="A53" s="17" t="s">
        <v>571</v>
      </c>
      <c r="B53" s="18">
        <f t="shared" ref="B53:K53" si="22">$B$21*(1+$B$7)^(B46-1)</f>
        <v>-730284.16053559573</v>
      </c>
      <c r="C53" s="18">
        <f t="shared" si="22"/>
        <v>-752192.68535166362</v>
      </c>
      <c r="D53" s="18">
        <f t="shared" si="22"/>
        <v>-774758.46591221343</v>
      </c>
      <c r="E53" s="18">
        <f t="shared" si="22"/>
        <v>-798001.21988957981</v>
      </c>
      <c r="F53" s="18">
        <f t="shared" si="22"/>
        <v>-821941.25648626732</v>
      </c>
      <c r="G53" s="18">
        <f t="shared" si="22"/>
        <v>-846599.49418085534</v>
      </c>
      <c r="H53" s="18">
        <f t="shared" si="22"/>
        <v>-871997.47900628089</v>
      </c>
      <c r="I53" s="18">
        <f t="shared" si="22"/>
        <v>-898157.40337646927</v>
      </c>
      <c r="J53" s="18">
        <f t="shared" si="22"/>
        <v>-925102.12547776347</v>
      </c>
      <c r="K53" s="19">
        <f t="shared" si="22"/>
        <v>-952855.18924209627</v>
      </c>
      <c r="N53" s="3453"/>
      <c r="O53" s="3455"/>
      <c r="Z53" s="1630" t="s">
        <v>4360</v>
      </c>
      <c r="AA53" s="1632">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-56603</v>
      </c>
      <c r="C54" s="18">
        <f>IF(AND('Part VI-Pro Forma'!$G$9="Yes",'Part VI-Pro Forma'!$G$10="Yes"),"Choose One!",IF('Part VI-Pro Forma'!$G$9="Yes",ROUND((-$K$9*(1+'Part VI-Pro Forma'!$B$7)^('Part VI-Pro Forma'!C46-1)),),IF('Part VI-Pro Forma'!$G$10="Yes",ROUND((-(SUM(C47:C50)*'Part VI-Pro Forma'!$K$10)),),"Choose mgt fee")))</f>
        <v>-57735</v>
      </c>
      <c r="D54" s="18">
        <f>IF(AND('Part VI-Pro Forma'!$G$9="Yes",'Part VI-Pro Forma'!$G$10="Yes"),"Choose One!",IF('Part VI-Pro Forma'!$G$9="Yes",ROUND((-$K$9*(1+'Part VI-Pro Forma'!$B$7)^('Part VI-Pro Forma'!D46-1)),),IF('Part VI-Pro Forma'!$G$10="Yes",ROUND((-(SUM(D47:D50)*'Part VI-Pro Forma'!$K$10)),),"Choose mgt fee")))</f>
        <v>-58890</v>
      </c>
      <c r="E54" s="18">
        <f>IF(AND('Part VI-Pro Forma'!$G$9="Yes",'Part VI-Pro Forma'!$G$10="Yes"),"Choose One!",IF('Part VI-Pro Forma'!$G$9="Yes",ROUND((-$K$9*(1+'Part VI-Pro Forma'!$B$7)^('Part VI-Pro Forma'!E46-1)),),IF('Part VI-Pro Forma'!$G$10="Yes",ROUND((-(SUM(E47:E50)*'Part VI-Pro Forma'!$K$10)),),"Choose mgt fee")))</f>
        <v>-60068</v>
      </c>
      <c r="F54" s="18">
        <f>IF(AND('Part VI-Pro Forma'!$G$9="Yes",'Part VI-Pro Forma'!$G$10="Yes"),"Choose One!",IF('Part VI-Pro Forma'!$G$9="Yes",ROUND((-$K$9*(1+'Part VI-Pro Forma'!$B$7)^('Part VI-Pro Forma'!F46-1)),),IF('Part VI-Pro Forma'!$G$10="Yes",ROUND((-(SUM(F47:F50)*'Part VI-Pro Forma'!$K$10)),),"Choose mgt fee")))</f>
        <v>-61269</v>
      </c>
      <c r="G54" s="18">
        <f>IF(AND('Part VI-Pro Forma'!$G$9="Yes",'Part VI-Pro Forma'!$G$10="Yes"),"Choose One!",IF('Part VI-Pro Forma'!$G$9="Yes",ROUND((-$K$9*(1+'Part VI-Pro Forma'!$B$7)^('Part VI-Pro Forma'!G46-1)),),IF('Part VI-Pro Forma'!$G$10="Yes",ROUND((-(SUM(G47:G50)*'Part VI-Pro Forma'!$K$10)),),"Choose mgt fee")))</f>
        <v>-62495</v>
      </c>
      <c r="H54" s="18">
        <f>IF(AND('Part VI-Pro Forma'!$G$9="Yes",'Part VI-Pro Forma'!$G$10="Yes"),"Choose One!",IF('Part VI-Pro Forma'!$G$9="Yes",ROUND((-$K$9*(1+'Part VI-Pro Forma'!$B$7)^('Part VI-Pro Forma'!H46-1)),),IF('Part VI-Pro Forma'!$G$10="Yes",ROUND((-(SUM(H47:H50)*'Part VI-Pro Forma'!$K$10)),),"Choose mgt fee")))</f>
        <v>-63745</v>
      </c>
      <c r="I54" s="18">
        <f>IF(AND('Part VI-Pro Forma'!$G$9="Yes",'Part VI-Pro Forma'!$G$10="Yes"),"Choose One!",IF('Part VI-Pro Forma'!$G$9="Yes",ROUND((-$K$9*(1+'Part VI-Pro Forma'!$B$7)^('Part VI-Pro Forma'!I46-1)),),IF('Part VI-Pro Forma'!$G$10="Yes",ROUND((-(SUM(I47:I50)*'Part VI-Pro Forma'!$K$10)),),"Choose mgt fee")))</f>
        <v>-65020</v>
      </c>
      <c r="J54" s="18">
        <f>IF(AND('Part VI-Pro Forma'!$G$9="Yes",'Part VI-Pro Forma'!$G$10="Yes"),"Choose One!",IF('Part VI-Pro Forma'!$G$9="Yes",ROUND((-$K$9*(1+'Part VI-Pro Forma'!$B$7)^('Part VI-Pro Forma'!J46-1)),),IF('Part VI-Pro Forma'!$G$10="Yes",ROUND((-(SUM(J47:J50)*'Part VI-Pro Forma'!$K$10)),),"Choose mgt fee")))</f>
        <v>-66320</v>
      </c>
      <c r="K54" s="19">
        <f>IF(AND('Part VI-Pro Forma'!$G$9="Yes",'Part VI-Pro Forma'!$G$10="Yes"),"Choose One!",IF('Part VI-Pro Forma'!$G$9="Yes",ROUND((-$K$9*(1+'Part VI-Pro Forma'!$B$7)^('Part VI-Pro Forma'!K46-1)),),IF('Part VI-Pro Forma'!$G$10="Yes",ROUND((-(SUM(K47:K50)*'Part VI-Pro Forma'!$K$10)),),"Choose mgt fee")))</f>
        <v>-67646</v>
      </c>
      <c r="N54" s="3453"/>
      <c r="O54" s="3455"/>
      <c r="Z54" s="1630" t="s">
        <v>4360</v>
      </c>
      <c r="AA54" s="1632">
        <v>54</v>
      </c>
    </row>
    <row r="55" spans="1:27" ht="13.35" customHeight="1">
      <c r="A55" s="17" t="s">
        <v>1127</v>
      </c>
      <c r="B55" s="18">
        <f t="shared" ref="B55:K55" si="23">$B$23*(1+$B$8)^(B46-1)</f>
        <v>-32253.993104258923</v>
      </c>
      <c r="C55" s="18">
        <f t="shared" si="23"/>
        <v>-33221.612897386694</v>
      </c>
      <c r="D55" s="18">
        <f t="shared" si="23"/>
        <v>-34218.26128430829</v>
      </c>
      <c r="E55" s="18">
        <f t="shared" si="23"/>
        <v>-35244.809122837534</v>
      </c>
      <c r="F55" s="18">
        <f t="shared" si="23"/>
        <v>-36302.153396522663</v>
      </c>
      <c r="G55" s="18">
        <f t="shared" si="23"/>
        <v>-37391.217998418346</v>
      </c>
      <c r="H55" s="18">
        <f t="shared" si="23"/>
        <v>-38512.95453837089</v>
      </c>
      <c r="I55" s="18">
        <f t="shared" si="23"/>
        <v>-39668.343174522015</v>
      </c>
      <c r="J55" s="18">
        <f t="shared" si="23"/>
        <v>-40858.393469757677</v>
      </c>
      <c r="K55" s="19">
        <f t="shared" si="23"/>
        <v>-42084.145273850409</v>
      </c>
      <c r="N55" s="3453"/>
      <c r="O55" s="3455"/>
      <c r="Q55" s="92"/>
      <c r="R55" s="856"/>
      <c r="S55" s="856"/>
      <c r="Z55" s="1630" t="s">
        <v>4360</v>
      </c>
      <c r="AA55" s="1632">
        <v>55</v>
      </c>
    </row>
    <row r="56" spans="1:27" ht="13.35" customHeight="1">
      <c r="A56" s="340" t="s">
        <v>3714</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3"/>
      <c r="O56" s="3455"/>
      <c r="Z56" s="1630" t="s">
        <v>4360</v>
      </c>
      <c r="AA56" s="1632">
        <v>56</v>
      </c>
    </row>
    <row r="57" spans="1:27" ht="13.35" customHeight="1">
      <c r="A57" s="17" t="s">
        <v>1128</v>
      </c>
      <c r="B57" s="18">
        <f t="shared" ref="B57:K57" si="24">SUM(B52:B56)</f>
        <v>595944.6095374031</v>
      </c>
      <c r="C57" s="18">
        <f t="shared" si="24"/>
        <v>600238.1801917525</v>
      </c>
      <c r="D57" s="18">
        <f t="shared" si="24"/>
        <v>604388.50081309711</v>
      </c>
      <c r="E57" s="18">
        <f t="shared" si="24"/>
        <v>608386.30355739372</v>
      </c>
      <c r="F57" s="18">
        <f t="shared" si="24"/>
        <v>612221.92933841771</v>
      </c>
      <c r="G57" s="18">
        <f t="shared" si="24"/>
        <v>615883.31382635736</v>
      </c>
      <c r="H57" s="18">
        <f t="shared" si="24"/>
        <v>619360.97298109229</v>
      </c>
      <c r="I57" s="18">
        <f t="shared" si="24"/>
        <v>622642.98810526787</v>
      </c>
      <c r="J57" s="18">
        <f t="shared" si="24"/>
        <v>625717.990401863</v>
      </c>
      <c r="K57" s="1156">
        <f t="shared" si="24"/>
        <v>628573.14502042509</v>
      </c>
      <c r="N57" s="3453"/>
      <c r="O57" s="3455"/>
      <c r="Z57" s="1630" t="s">
        <v>4360</v>
      </c>
      <c r="AA57" s="1632">
        <v>57</v>
      </c>
    </row>
    <row r="58" spans="1:27" ht="13.35" customHeight="1">
      <c r="A58" s="17" t="str">
        <f>$A26</f>
        <v>Mortgage A</v>
      </c>
      <c r="B58" s="341">
        <f>IF('Part II-Sources of Funds'!$P$40="", 0,-'Part II-Sources of Funds'!$P$40)</f>
        <v>-406951.82316822727</v>
      </c>
      <c r="C58" s="341">
        <f>IF('Part II-Sources of Funds'!$P$40="", 0,-'Part II-Sources of Funds'!$P$40)</f>
        <v>-406951.82316822727</v>
      </c>
      <c r="D58" s="341">
        <f>IF('Part II-Sources of Funds'!$P$40="", 0,-'Part II-Sources of Funds'!$P$40)</f>
        <v>-406951.82316822727</v>
      </c>
      <c r="E58" s="341">
        <f>IF('Part II-Sources of Funds'!$P$40="", 0,-'Part II-Sources of Funds'!$P$40)</f>
        <v>-406951.82316822727</v>
      </c>
      <c r="F58" s="341">
        <f>IF('Part II-Sources of Funds'!$P$40="", 0,-'Part II-Sources of Funds'!$P$40)</f>
        <v>-406951.82316822727</v>
      </c>
      <c r="G58" s="341">
        <f>IF('Part II-Sources of Funds'!$P$40="", 0,-'Part II-Sources of Funds'!$P$40)</f>
        <v>-406951.82316822727</v>
      </c>
      <c r="H58" s="341">
        <f>IF('Part II-Sources of Funds'!$P$40="", 0,-'Part II-Sources of Funds'!$P$40)</f>
        <v>-406951.82316822727</v>
      </c>
      <c r="I58" s="341">
        <f>IF('Part II-Sources of Funds'!$P$40="", 0,-'Part II-Sources of Funds'!$P$40)</f>
        <v>-406951.82316822727</v>
      </c>
      <c r="J58" s="341">
        <f>IF('Part II-Sources of Funds'!$P$40="", 0,-'Part II-Sources of Funds'!$P$40)</f>
        <v>-406951.82316822727</v>
      </c>
      <c r="K58" s="341">
        <f>IF('Part II-Sources of Funds'!$P$40="", 0,-'Part II-Sources of Funds'!$P$40)</f>
        <v>-406951.82316822727</v>
      </c>
      <c r="N58" s="3453"/>
      <c r="O58" s="3455"/>
      <c r="Z58" s="1630" t="s">
        <v>4360</v>
      </c>
      <c r="AA58" s="1632">
        <v>58</v>
      </c>
    </row>
    <row r="59" spans="1:27" ht="13.35" customHeight="1">
      <c r="A59" s="17" t="str">
        <f>$A27</f>
        <v>Mortgage B</v>
      </c>
      <c r="B59" s="178">
        <v>-91921.189505156304</v>
      </c>
      <c r="C59" s="178">
        <v>-94067.940527060113</v>
      </c>
      <c r="D59" s="178">
        <v>-96143.245846356076</v>
      </c>
      <c r="E59" s="178">
        <v>-98142.245127300557</v>
      </c>
      <c r="F59" s="178">
        <v>-100059.87788478454</v>
      </c>
      <c r="G59" s="178">
        <v>-104465.8763930662</v>
      </c>
      <c r="H59" s="178">
        <v>-106204.75836003135</v>
      </c>
      <c r="I59" s="178">
        <v>-107845.81935950852</v>
      </c>
      <c r="J59" s="178">
        <v>-109383.12501394382</v>
      </c>
      <c r="K59" s="178">
        <v>-110810.50291948493</v>
      </c>
      <c r="N59" s="3453"/>
      <c r="O59" s="3455"/>
      <c r="Z59" s="1630" t="s">
        <v>4360</v>
      </c>
      <c r="AA59" s="1632">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3"/>
      <c r="O60" s="3455"/>
      <c r="Z60" s="1630" t="s">
        <v>4360</v>
      </c>
      <c r="AA60" s="1632">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3"/>
      <c r="O61" s="3455"/>
      <c r="Z61" s="1630" t="s">
        <v>4360</v>
      </c>
      <c r="AA61" s="1632">
        <v>61</v>
      </c>
    </row>
    <row r="62" spans="1:27" ht="13.35" customHeight="1">
      <c r="A62" s="17" t="s">
        <v>710</v>
      </c>
      <c r="B62" s="138"/>
      <c r="C62" s="138"/>
      <c r="D62" s="138"/>
      <c r="E62" s="138"/>
      <c r="F62" s="138"/>
      <c r="G62" s="138"/>
      <c r="H62" s="138"/>
      <c r="I62" s="138"/>
      <c r="J62" s="138"/>
      <c r="K62" s="138"/>
      <c r="N62" s="3453"/>
      <c r="O62" s="3455"/>
      <c r="Q62" s="92"/>
      <c r="R62" s="856"/>
      <c r="Z62" s="1630" t="s">
        <v>4360</v>
      </c>
      <c r="AA62" s="1632">
        <v>62</v>
      </c>
    </row>
    <row r="63" spans="1:27" ht="13.35" customHeight="1">
      <c r="A63" s="340" t="s">
        <v>1094</v>
      </c>
      <c r="B63" s="178">
        <f>K31*(1+$B$8)</f>
        <v>-6719.5818967206096</v>
      </c>
      <c r="C63" s="178">
        <f t="shared" ref="C63:F63" si="25">B63*(1+$B$7)</f>
        <v>-6921.1693536222283</v>
      </c>
      <c r="D63" s="178">
        <f t="shared" si="25"/>
        <v>-7128.8044342308949</v>
      </c>
      <c r="E63" s="178">
        <f t="shared" si="25"/>
        <v>-7342.6685672578224</v>
      </c>
      <c r="F63" s="178">
        <f t="shared" si="25"/>
        <v>-7562.9486242755574</v>
      </c>
      <c r="G63" s="178">
        <v>0</v>
      </c>
      <c r="H63" s="178">
        <v>0</v>
      </c>
      <c r="I63" s="178">
        <v>0</v>
      </c>
      <c r="J63" s="178">
        <v>0</v>
      </c>
      <c r="K63" s="178">
        <v>0</v>
      </c>
      <c r="N63" s="3453"/>
      <c r="O63" s="3455"/>
      <c r="Z63" s="1630" t="s">
        <v>4360</v>
      </c>
      <c r="AA63" s="1632">
        <v>63</v>
      </c>
    </row>
    <row r="64" spans="1:27" ht="13.35" customHeight="1">
      <c r="A64" s="340" t="s">
        <v>3275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3"/>
      <c r="O64" s="3455"/>
      <c r="Z64" s="1630" t="s">
        <v>4360</v>
      </c>
      <c r="AA64" s="1632">
        <v>64</v>
      </c>
    </row>
    <row r="65" spans="1:27" ht="13.35" customHeight="1">
      <c r="A65" s="17" t="s">
        <v>1095</v>
      </c>
      <c r="B65" s="18">
        <f t="shared" ref="B65:K65" si="26">SUM(B57:B64)</f>
        <v>90352.014967298906</v>
      </c>
      <c r="C65" s="18">
        <f t="shared" si="26"/>
        <v>92297.247142842883</v>
      </c>
      <c r="D65" s="18">
        <f t="shared" si="26"/>
        <v>94164.62736428286</v>
      </c>
      <c r="E65" s="18">
        <f t="shared" si="26"/>
        <v>95949.566694608075</v>
      </c>
      <c r="F65" s="18">
        <f t="shared" si="26"/>
        <v>97647.279661130349</v>
      </c>
      <c r="G65" s="18">
        <f t="shared" si="26"/>
        <v>104465.61426506389</v>
      </c>
      <c r="H65" s="18">
        <f t="shared" si="26"/>
        <v>106204.39145283366</v>
      </c>
      <c r="I65" s="18">
        <f t="shared" si="26"/>
        <v>107845.34557753208</v>
      </c>
      <c r="J65" s="18">
        <f t="shared" si="26"/>
        <v>109383.04221969191</v>
      </c>
      <c r="K65" s="496">
        <f t="shared" si="26"/>
        <v>110810.81893271288</v>
      </c>
      <c r="N65" s="3453"/>
      <c r="O65" s="3455"/>
      <c r="Z65" s="1630" t="s">
        <v>4360</v>
      </c>
      <c r="AA65" s="1632">
        <v>65</v>
      </c>
    </row>
    <row r="66" spans="1:27" ht="13.35" customHeight="1">
      <c r="A66" s="17" t="str">
        <f>$A34</f>
        <v>DCR Mortgage A</v>
      </c>
      <c r="B66" s="20">
        <f t="shared" ref="B66:K66" si="27">IF(B58=0,"",-B57/B58)</f>
        <v>1.4644107130367845</v>
      </c>
      <c r="C66" s="20">
        <f t="shared" si="27"/>
        <v>1.4749612755601877</v>
      </c>
      <c r="D66" s="20">
        <f t="shared" si="27"/>
        <v>1.4851598307332137</v>
      </c>
      <c r="E66" s="20">
        <f t="shared" si="27"/>
        <v>1.4949836047445271</v>
      </c>
      <c r="F66" s="20">
        <f t="shared" si="27"/>
        <v>1.5044088623859908</v>
      </c>
      <c r="G66" s="20">
        <f t="shared" si="27"/>
        <v>1.5134059580604489</v>
      </c>
      <c r="H66" s="20">
        <f t="shared" si="27"/>
        <v>1.521951586699388</v>
      </c>
      <c r="I66" s="20">
        <f t="shared" si="27"/>
        <v>1.5300164605673172</v>
      </c>
      <c r="J66" s="20">
        <f t="shared" si="27"/>
        <v>1.537572643195166</v>
      </c>
      <c r="K66" s="21">
        <f t="shared" si="27"/>
        <v>1.5445885955905476</v>
      </c>
      <c r="N66" s="3453"/>
      <c r="O66" s="3455"/>
      <c r="Z66" s="1630" t="s">
        <v>4360</v>
      </c>
      <c r="AA66" s="1632">
        <v>66</v>
      </c>
    </row>
    <row r="67" spans="1:27" ht="13.35" customHeight="1">
      <c r="A67" s="17" t="str">
        <f>$A35</f>
        <v>DCR Mortgage B</v>
      </c>
      <c r="B67" s="20">
        <f t="shared" ref="B67:K67" si="28">IF(B59=0,"",-(B57+B58)/B59)</f>
        <v>2.0560306865760731</v>
      </c>
      <c r="C67" s="20">
        <f t="shared" si="28"/>
        <v>2.0547527238349965</v>
      </c>
      <c r="D67" s="20">
        <f t="shared" si="28"/>
        <v>2.0535678393923589</v>
      </c>
      <c r="E67" s="20">
        <f t="shared" si="28"/>
        <v>2.0524747536383061</v>
      </c>
      <c r="F67" s="20">
        <f t="shared" si="28"/>
        <v>2.0514726832522405</v>
      </c>
      <c r="G67" s="20">
        <f t="shared" si="28"/>
        <v>1.9999974907786988</v>
      </c>
      <c r="H67" s="20">
        <f t="shared" si="28"/>
        <v>1.9999965452847559</v>
      </c>
      <c r="I67" s="20">
        <f t="shared" si="28"/>
        <v>1.999995606858205</v>
      </c>
      <c r="J67" s="20">
        <f t="shared" si="28"/>
        <v>1.9999992430802109</v>
      </c>
      <c r="K67" s="21">
        <f t="shared" si="28"/>
        <v>2.0000028518346151</v>
      </c>
      <c r="N67" s="3453"/>
      <c r="O67" s="3455"/>
      <c r="Z67" s="1630" t="s">
        <v>4360</v>
      </c>
      <c r="AA67" s="1632">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453"/>
      <c r="O68" s="3455"/>
      <c r="Z68" s="1630" t="s">
        <v>4360</v>
      </c>
      <c r="AA68" s="1632">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453"/>
      <c r="O69" s="3455"/>
      <c r="Z69" s="1630" t="s">
        <v>4360</v>
      </c>
      <c r="AA69" s="1632">
        <v>69</v>
      </c>
    </row>
    <row r="70" spans="1:27" ht="13.35" customHeight="1">
      <c r="A70" s="340" t="s">
        <v>3129</v>
      </c>
      <c r="B70" s="20">
        <f t="shared" ref="B70:K70" si="31">IF(AND(B58=0,B59=0,B60=0,B61=0),"",-B57/(B58+B59+B60+B61))</f>
        <v>1.1945817761193931</v>
      </c>
      <c r="C70" s="20">
        <f t="shared" si="31"/>
        <v>1.1980329393888107</v>
      </c>
      <c r="D70" s="20">
        <f t="shared" si="31"/>
        <v>1.2013405378767039</v>
      </c>
      <c r="E70" s="20">
        <f t="shared" si="31"/>
        <v>1.2045009865398582</v>
      </c>
      <c r="F70" s="20">
        <f t="shared" si="31"/>
        <v>1.2075104540327075</v>
      </c>
      <c r="G70" s="20">
        <f t="shared" si="31"/>
        <v>1.2042667165306891</v>
      </c>
      <c r="H70" s="20">
        <f t="shared" si="31"/>
        <v>1.2069629334900875</v>
      </c>
      <c r="I70" s="20">
        <f t="shared" si="31"/>
        <v>1.2094907526149397</v>
      </c>
      <c r="J70" s="20">
        <f t="shared" si="31"/>
        <v>1.2118451261236336</v>
      </c>
      <c r="K70" s="21">
        <f t="shared" si="31"/>
        <v>1.2140186980578824</v>
      </c>
      <c r="N70" s="3453"/>
      <c r="O70" s="3455"/>
      <c r="Z70" s="1630" t="s">
        <v>4360</v>
      </c>
      <c r="AA70" s="1632">
        <v>70</v>
      </c>
    </row>
    <row r="71" spans="1:27" ht="13.35" customHeight="1">
      <c r="A71" s="17" t="s">
        <v>717</v>
      </c>
      <c r="B71" s="220">
        <f t="shared" ref="B71:K71" si="32">IF(OR(B54="Choose mgt fee",B54="Choose One!"),"",(B47+B48+B49+B50+B51) / -(B53+B54+B55))</f>
        <v>1.727523708080497</v>
      </c>
      <c r="C71" s="220">
        <f t="shared" si="32"/>
        <v>1.7119002310009082</v>
      </c>
      <c r="D71" s="220">
        <f t="shared" si="32"/>
        <v>1.6964070425484097</v>
      </c>
      <c r="E71" s="220">
        <f t="shared" si="32"/>
        <v>1.6810441611781035</v>
      </c>
      <c r="F71" s="220">
        <f t="shared" si="32"/>
        <v>1.6658114917844964</v>
      </c>
      <c r="G71" s="220">
        <f t="shared" si="32"/>
        <v>1.6507053470551525</v>
      </c>
      <c r="H71" s="220">
        <f t="shared" si="32"/>
        <v>1.6357275019012822</v>
      </c>
      <c r="I71" s="220">
        <f t="shared" si="32"/>
        <v>1.620876131994053</v>
      </c>
      <c r="J71" s="220">
        <f t="shared" si="32"/>
        <v>1.6061511177599517</v>
      </c>
      <c r="K71" s="221">
        <f t="shared" si="32"/>
        <v>1.5915507438343925</v>
      </c>
      <c r="N71" s="3453"/>
      <c r="O71" s="3455"/>
      <c r="Z71" s="1630" t="s">
        <v>4360</v>
      </c>
      <c r="AA71" s="1632">
        <v>71</v>
      </c>
    </row>
    <row r="72" spans="1:27" ht="13.35" customHeight="1">
      <c r="A72" s="340" t="s">
        <v>2399</v>
      </c>
      <c r="B72" s="177">
        <f>IF('Part II-Sources of Funds'!$I$40="","",-FV('Part II-Sources of Funds'!$K$40/12,12,B58/12,K40))</f>
        <v>4842575.3609803133</v>
      </c>
      <c r="C72" s="177">
        <f>IF('Part II-Sources of Funds'!$I$40="","",-FV('Part II-Sources of Funds'!$K$40/12,12,C58/12,B72))</f>
        <v>4793288.8625079291</v>
      </c>
      <c r="D72" s="177">
        <f>IF('Part II-Sources of Funds'!$I$40="","",-FV('Part II-Sources of Funds'!$K$40/12,12,D58/12,C72))</f>
        <v>4740218.3359629437</v>
      </c>
      <c r="E72" s="177">
        <f>IF('Part II-Sources of Funds'!$I$40="","",-FV('Part II-Sources of Funds'!$K$40/12,12,E58/12,D72))</f>
        <v>4683073.258202143</v>
      </c>
      <c r="F72" s="177">
        <f>IF('Part II-Sources of Funds'!$I$40="","",-FV('Part II-Sources of Funds'!$K$40/12,12,F58/12,E72))</f>
        <v>4621540.8008311028</v>
      </c>
      <c r="G72" s="177">
        <f>IF('Part II-Sources of Funds'!$I$40="","",-FV('Part II-Sources of Funds'!$K$40/12,12,G58/12,F72))</f>
        <v>4555284.1176926624</v>
      </c>
      <c r="H72" s="177">
        <f>IF('Part II-Sources of Funds'!$I$40="","",-FV('Part II-Sources of Funds'!$K$40/12,12,H58/12,G72))</f>
        <v>4483940.5008753408</v>
      </c>
      <c r="I72" s="177">
        <f>IF('Part II-Sources of Funds'!$I$40="","",-FV('Part II-Sources of Funds'!$K$40/12,12,I58/12,H72))</f>
        <v>4407119.3951471588</v>
      </c>
      <c r="J72" s="177">
        <f>IF('Part II-Sources of Funds'!$I$40="","",-FV('Part II-Sources of Funds'!$K$40/12,12,J58/12,I72))</f>
        <v>4324400.2599453144</v>
      </c>
      <c r="K72" s="177">
        <f>IF('Part II-Sources of Funds'!$I$40="","",-FV('Part II-Sources of Funds'!$K$40/12,12,K58/12,J72))</f>
        <v>4235330.2672176417</v>
      </c>
      <c r="N72" s="3453"/>
      <c r="O72" s="3455"/>
      <c r="Z72" s="1630" t="s">
        <v>4360</v>
      </c>
      <c r="AA72" s="1632">
        <v>72</v>
      </c>
    </row>
    <row r="73" spans="1:27" ht="13.35" customHeight="1">
      <c r="A73" s="340" t="s">
        <v>2400</v>
      </c>
      <c r="B73" s="178">
        <f>IF('Part II-Sources of Funds'!$I$41="","",-FV('Part II-Sources of Funds'!$K$41/12,12,B59/12,K41))</f>
        <v>1012992.4554434015</v>
      </c>
      <c r="C73" s="178">
        <f>IF('Part II-Sources of Funds'!$I$41="","",-FV('Part II-Sources of Funds'!$K$41/12,12,C59/12,B73))</f>
        <v>933574.8837522415</v>
      </c>
      <c r="D73" s="178">
        <f>IF('Part II-Sources of Funds'!$I$41="","",-FV('Part II-Sources of Funds'!$K$41/12,12,D59/12,C73))</f>
        <v>850868.19166797644</v>
      </c>
      <c r="E73" s="178">
        <f>IF('Part II-Sources of Funds'!$I$41="","",-FV('Part II-Sources of Funds'!$K$41/12,12,E59/12,D73))</f>
        <v>764899.53461126762</v>
      </c>
      <c r="F73" s="178">
        <f>IF('Part II-Sources of Funds'!$I$41="","",-FV('Part II-Sources of Funds'!$K$41/12,12,F59/12,E73))</f>
        <v>675701.57356750488</v>
      </c>
      <c r="G73" s="178">
        <f>IF('Part II-Sources of Funds'!$I$41="","",-FV('Part II-Sources of Funds'!$K$41/12,12,G59/12,F73))</f>
        <v>580719.98981588148</v>
      </c>
      <c r="H73" s="178">
        <f>IF('Part II-Sources of Funds'!$I$41="","",-FV('Part II-Sources of Funds'!$K$41/12,12,H59/12,G73))</f>
        <v>482552.95967215823</v>
      </c>
      <c r="I73" s="178">
        <f>IF('Part II-Sources of Funds'!$I$41="","",-FV('Part II-Sources of Funds'!$K$41/12,12,I59/12,H73))</f>
        <v>381250.86786539014</v>
      </c>
      <c r="J73" s="178">
        <f>IF('Part II-Sources of Funds'!$I$41="","",-FV('Part II-Sources of Funds'!$K$41/12,12,J59/12,I73))</f>
        <v>276870.83546007774</v>
      </c>
      <c r="K73" s="178">
        <f>IF('Part II-Sources of Funds'!$I$41="","",-FV('Part II-Sources of Funds'!$K$41/12,12,K59/12,J73))</f>
        <v>169477.06126835282</v>
      </c>
      <c r="N73" s="3453"/>
      <c r="O73" s="3455"/>
      <c r="Z73" s="1630" t="s">
        <v>4360</v>
      </c>
      <c r="AA73" s="1632">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3"/>
      <c r="O74" s="3455"/>
      <c r="Z74" s="1630" t="s">
        <v>4360</v>
      </c>
      <c r="AA74" s="1632">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3"/>
      <c r="O75" s="3455"/>
      <c r="Z75" s="1630" t="s">
        <v>4360</v>
      </c>
      <c r="AA75" s="1632">
        <v>75</v>
      </c>
    </row>
    <row r="76" spans="1:27" ht="13.35" customHeight="1">
      <c r="A76" s="340" t="s">
        <v>3276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6"/>
      <c r="O76" s="3468"/>
      <c r="Z76" s="1630" t="s">
        <v>4360</v>
      </c>
      <c r="AA76" s="1632">
        <v>76</v>
      </c>
    </row>
    <row r="77" spans="1:27" ht="4.3499999999999996" customHeight="1">
      <c r="B77" s="13"/>
      <c r="C77" s="13"/>
      <c r="D77" s="13"/>
      <c r="E77" s="13"/>
      <c r="F77" s="13"/>
      <c r="G77" s="13"/>
      <c r="H77" s="13"/>
      <c r="I77" s="13"/>
      <c r="J77" s="13"/>
      <c r="K77" s="13"/>
      <c r="AA77" s="1632">
        <v>77</v>
      </c>
    </row>
    <row r="78" spans="1:27" ht="14.65" customHeight="1">
      <c r="A78" s="10" t="s">
        <v>2278</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01" t="s">
        <v>2403</v>
      </c>
      <c r="O78" s="3101"/>
      <c r="AA78" s="1632">
        <v>78</v>
      </c>
    </row>
    <row r="79" spans="1:27" ht="13.35" customHeight="1">
      <c r="A79" s="14" t="s">
        <v>2209</v>
      </c>
      <c r="B79" s="15">
        <f t="shared" ref="B79:K79" si="34">$B$15*(1+$B$6)^(B78-1)</f>
        <v>1840553.8825546287</v>
      </c>
      <c r="C79" s="15">
        <f t="shared" si="34"/>
        <v>1877364.9602057212</v>
      </c>
      <c r="D79" s="15">
        <f t="shared" si="34"/>
        <v>1914912.2594098356</v>
      </c>
      <c r="E79" s="15">
        <f t="shared" si="34"/>
        <v>1953210.504598032</v>
      </c>
      <c r="F79" s="15">
        <f t="shared" si="34"/>
        <v>1992274.7146899928</v>
      </c>
      <c r="G79" s="15">
        <f t="shared" si="34"/>
        <v>2032120.2089837927</v>
      </c>
      <c r="H79" s="15">
        <f t="shared" si="34"/>
        <v>2072762.6131634687</v>
      </c>
      <c r="I79" s="15">
        <f t="shared" si="34"/>
        <v>2114217.8654267378</v>
      </c>
      <c r="J79" s="15">
        <f t="shared" si="34"/>
        <v>2156502.2227352727</v>
      </c>
      <c r="K79" s="16">
        <f t="shared" si="34"/>
        <v>2199632.2671899782</v>
      </c>
      <c r="N79" s="3477"/>
      <c r="O79" s="3479"/>
      <c r="Z79" s="1630" t="s">
        <v>4361</v>
      </c>
      <c r="AA79" s="1632">
        <v>79</v>
      </c>
    </row>
    <row r="80" spans="1:27" ht="13.35" customHeight="1">
      <c r="A80" s="17" t="s">
        <v>951</v>
      </c>
      <c r="B80" s="18">
        <f t="shared" ref="B80:K80" si="35">$B$16*(1+$B$6)^(B78-1)</f>
        <v>14265.095001392201</v>
      </c>
      <c r="C80" s="18">
        <f t="shared" si="35"/>
        <v>14550.396901420043</v>
      </c>
      <c r="D80" s="18">
        <f t="shared" si="35"/>
        <v>14841.404839448445</v>
      </c>
      <c r="E80" s="18">
        <f t="shared" si="35"/>
        <v>15138.232936237411</v>
      </c>
      <c r="F80" s="18">
        <f t="shared" si="35"/>
        <v>15440.99759496216</v>
      </c>
      <c r="G80" s="18">
        <f t="shared" si="35"/>
        <v>15749.817546861404</v>
      </c>
      <c r="H80" s="18">
        <f t="shared" si="35"/>
        <v>16064.813897798633</v>
      </c>
      <c r="I80" s="18">
        <f t="shared" si="35"/>
        <v>16386.110175754602</v>
      </c>
      <c r="J80" s="18">
        <f t="shared" si="35"/>
        <v>16713.832379269697</v>
      </c>
      <c r="K80" s="19">
        <f t="shared" si="35"/>
        <v>17048.109026855091</v>
      </c>
      <c r="N80" s="3453"/>
      <c r="O80" s="3455"/>
      <c r="Z80" s="1630" t="s">
        <v>4361</v>
      </c>
      <c r="AA80" s="1632">
        <v>80</v>
      </c>
    </row>
    <row r="81" spans="1:27" ht="13.35" customHeight="1">
      <c r="A81" s="17" t="s">
        <v>2210</v>
      </c>
      <c r="B81" s="18">
        <f t="shared" ref="B81:K81" si="36">-(B79+B80)*$B$9</f>
        <v>-129837.32842892148</v>
      </c>
      <c r="C81" s="18">
        <f t="shared" si="36"/>
        <v>-132434.07499749991</v>
      </c>
      <c r="D81" s="18">
        <f t="shared" si="36"/>
        <v>-135082.75649744988</v>
      </c>
      <c r="E81" s="18">
        <f t="shared" si="36"/>
        <v>-137784.41162739886</v>
      </c>
      <c r="F81" s="18">
        <f t="shared" si="36"/>
        <v>-140540.09985994687</v>
      </c>
      <c r="G81" s="18">
        <f t="shared" si="36"/>
        <v>-143350.9018571458</v>
      </c>
      <c r="H81" s="18">
        <f t="shared" si="36"/>
        <v>-146217.91989428873</v>
      </c>
      <c r="I81" s="18">
        <f t="shared" si="36"/>
        <v>-149142.27829217448</v>
      </c>
      <c r="J81" s="18">
        <f t="shared" si="36"/>
        <v>-152125.12385801799</v>
      </c>
      <c r="K81" s="19">
        <f t="shared" si="36"/>
        <v>-155167.62633517836</v>
      </c>
      <c r="N81" s="3453"/>
      <c r="O81" s="3455"/>
      <c r="Z81" s="1630" t="s">
        <v>4361</v>
      </c>
      <c r="AA81" s="1632">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3"/>
      <c r="O82" s="3455"/>
      <c r="Z82" s="1630" t="s">
        <v>4361</v>
      </c>
      <c r="AA82" s="1632">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3"/>
      <c r="O83" s="3455"/>
      <c r="Z83" s="1630" t="s">
        <v>4361</v>
      </c>
      <c r="AA83" s="1632">
        <v>83</v>
      </c>
    </row>
    <row r="84" spans="1:27" ht="13.35" customHeight="1">
      <c r="A84" s="340" t="s">
        <v>3715</v>
      </c>
      <c r="B84" s="18">
        <f t="shared" ref="B84:K84" si="37">SUM(B79:B83)</f>
        <v>1724981.6491270994</v>
      </c>
      <c r="C84" s="18">
        <f t="shared" si="37"/>
        <v>1759481.2821096415</v>
      </c>
      <c r="D84" s="18">
        <f t="shared" si="37"/>
        <v>1794670.907751834</v>
      </c>
      <c r="E84" s="18">
        <f t="shared" si="37"/>
        <v>1830564.3259068707</v>
      </c>
      <c r="F84" s="18">
        <f t="shared" si="37"/>
        <v>1867175.6124250081</v>
      </c>
      <c r="G84" s="18">
        <f t="shared" si="37"/>
        <v>1904519.1246735083</v>
      </c>
      <c r="H84" s="18">
        <f t="shared" si="37"/>
        <v>1942609.5071669784</v>
      </c>
      <c r="I84" s="18">
        <f t="shared" si="37"/>
        <v>1981461.6973103178</v>
      </c>
      <c r="J84" s="18">
        <f t="shared" si="37"/>
        <v>2021090.9312565245</v>
      </c>
      <c r="K84" s="19">
        <f t="shared" si="37"/>
        <v>2061512.7498816552</v>
      </c>
      <c r="N84" s="3453"/>
      <c r="O84" s="3455"/>
      <c r="Z84" s="1630" t="s">
        <v>4361</v>
      </c>
      <c r="AA84" s="1632">
        <v>84</v>
      </c>
    </row>
    <row r="85" spans="1:27" ht="13.35" customHeight="1">
      <c r="A85" s="17" t="s">
        <v>571</v>
      </c>
      <c r="B85" s="18">
        <f t="shared" ref="B85:K85" si="38">$B$21*(1+$B$7)^(B78-1)</f>
        <v>-981440.8449193592</v>
      </c>
      <c r="C85" s="18">
        <f t="shared" si="38"/>
        <v>-1010884.0702669398</v>
      </c>
      <c r="D85" s="18">
        <f t="shared" si="38"/>
        <v>-1041210.5923749481</v>
      </c>
      <c r="E85" s="18">
        <f t="shared" si="38"/>
        <v>-1072446.9101461966</v>
      </c>
      <c r="F85" s="18">
        <f t="shared" si="38"/>
        <v>-1104620.3174505823</v>
      </c>
      <c r="G85" s="18">
        <f t="shared" si="38"/>
        <v>-1137758.9269740998</v>
      </c>
      <c r="H85" s="18">
        <f t="shared" si="38"/>
        <v>-1171891.694783323</v>
      </c>
      <c r="I85" s="18">
        <f t="shared" si="38"/>
        <v>-1207048.4456268225</v>
      </c>
      <c r="J85" s="18">
        <f t="shared" si="38"/>
        <v>-1243259.8989956272</v>
      </c>
      <c r="K85" s="19">
        <f t="shared" si="38"/>
        <v>-1280557.6959654959</v>
      </c>
      <c r="N85" s="3453"/>
      <c r="O85" s="3455"/>
      <c r="Z85" s="1630" t="s">
        <v>4361</v>
      </c>
      <c r="AA85" s="1632">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-68999</v>
      </c>
      <c r="C86" s="18">
        <f>IF(AND('Part VI-Pro Forma'!$G$9="Yes",'Part VI-Pro Forma'!$G$10="Yes"),"Choose One!",IF('Part VI-Pro Forma'!$G$9="Yes",ROUND((-$K$9*(1+'Part VI-Pro Forma'!$B$7)^('Part VI-Pro Forma'!C78-1)),),IF('Part VI-Pro Forma'!$G$10="Yes",ROUND((-(SUM(C79:C82)*'Part VI-Pro Forma'!$K$10)),),"Choose mgt fee")))</f>
        <v>-70379</v>
      </c>
      <c r="D86" s="18">
        <f>IF(AND('Part VI-Pro Forma'!$G$9="Yes",'Part VI-Pro Forma'!$G$10="Yes"),"Choose One!",IF('Part VI-Pro Forma'!$G$9="Yes",ROUND((-$K$9*(1+'Part VI-Pro Forma'!$B$7)^('Part VI-Pro Forma'!D78-1)),),IF('Part VI-Pro Forma'!$G$10="Yes",ROUND((-(SUM(D79:D82)*'Part VI-Pro Forma'!$K$10)),),"Choose mgt fee")))</f>
        <v>-71787</v>
      </c>
      <c r="E86" s="18">
        <f>IF(AND('Part VI-Pro Forma'!$G$9="Yes",'Part VI-Pro Forma'!$G$10="Yes"),"Choose One!",IF('Part VI-Pro Forma'!$G$9="Yes",ROUND((-$K$9*(1+'Part VI-Pro Forma'!$B$7)^('Part VI-Pro Forma'!E78-1)),),IF('Part VI-Pro Forma'!$G$10="Yes",ROUND((-(SUM(E79:E82)*'Part VI-Pro Forma'!$K$10)),),"Choose mgt fee")))</f>
        <v>-73223</v>
      </c>
      <c r="F86" s="18">
        <f>IF(AND('Part VI-Pro Forma'!$G$9="Yes",'Part VI-Pro Forma'!$G$10="Yes"),"Choose One!",IF('Part VI-Pro Forma'!$G$9="Yes",ROUND((-$K$9*(1+'Part VI-Pro Forma'!$B$7)^('Part VI-Pro Forma'!F78-1)),),IF('Part VI-Pro Forma'!$G$10="Yes",ROUND((-(SUM(F79:F82)*'Part VI-Pro Forma'!$K$10)),),"Choose mgt fee")))</f>
        <v>-74687</v>
      </c>
      <c r="G86" s="18">
        <f>IF(AND('Part VI-Pro Forma'!$G$9="Yes",'Part VI-Pro Forma'!$G$10="Yes"),"Choose One!",IF('Part VI-Pro Forma'!$G$9="Yes",ROUND((-$K$9*(1+'Part VI-Pro Forma'!$B$7)^('Part VI-Pro Forma'!G78-1)),),IF('Part VI-Pro Forma'!$G$10="Yes",ROUND((-(SUM(G79:G82)*'Part VI-Pro Forma'!$K$10)),),"Choose mgt fee")))</f>
        <v>-76181</v>
      </c>
      <c r="H86" s="18">
        <f>IF(AND('Part VI-Pro Forma'!$G$9="Yes",'Part VI-Pro Forma'!$G$10="Yes"),"Choose One!",IF('Part VI-Pro Forma'!$G$9="Yes",ROUND((-$K$9*(1+'Part VI-Pro Forma'!$B$7)^('Part VI-Pro Forma'!H78-1)),),IF('Part VI-Pro Forma'!$G$10="Yes",ROUND((-(SUM(H79:H82)*'Part VI-Pro Forma'!$K$10)),),"Choose mgt fee")))</f>
        <v>-77704</v>
      </c>
      <c r="I86" s="18">
        <f>IF(AND('Part VI-Pro Forma'!$G$9="Yes",'Part VI-Pro Forma'!$G$10="Yes"),"Choose One!",IF('Part VI-Pro Forma'!$G$9="Yes",ROUND((-$K$9*(1+'Part VI-Pro Forma'!$B$7)^('Part VI-Pro Forma'!I78-1)),),IF('Part VI-Pro Forma'!$G$10="Yes",ROUND((-(SUM(I79:I82)*'Part VI-Pro Forma'!$K$10)),),"Choose mgt fee")))</f>
        <v>-79258</v>
      </c>
      <c r="J86" s="18">
        <f>IF(AND('Part VI-Pro Forma'!$G$9="Yes",'Part VI-Pro Forma'!$G$10="Yes"),"Choose One!",IF('Part VI-Pro Forma'!$G$9="Yes",ROUND((-$K$9*(1+'Part VI-Pro Forma'!$B$7)^('Part VI-Pro Forma'!J78-1)),),IF('Part VI-Pro Forma'!$G$10="Yes",ROUND((-(SUM(J79:J82)*'Part VI-Pro Forma'!$K$10)),),"Choose mgt fee")))</f>
        <v>-80844</v>
      </c>
      <c r="K86" s="19">
        <f>IF(AND('Part VI-Pro Forma'!$G$9="Yes",'Part VI-Pro Forma'!$G$10="Yes"),"Choose One!",IF('Part VI-Pro Forma'!$G$9="Yes",ROUND((-$K$9*(1+'Part VI-Pro Forma'!$B$7)^('Part VI-Pro Forma'!K78-1)),),IF('Part VI-Pro Forma'!$G$10="Yes",ROUND((-(SUM(K79:K82)*'Part VI-Pro Forma'!$K$10)),),"Choose mgt fee")))</f>
        <v>-82461</v>
      </c>
      <c r="N86" s="3453"/>
      <c r="O86" s="3455"/>
      <c r="Z86" s="1630" t="s">
        <v>4361</v>
      </c>
      <c r="AA86" s="1632">
        <v>86</v>
      </c>
    </row>
    <row r="87" spans="1:27" ht="13.35" customHeight="1">
      <c r="A87" s="17" t="s">
        <v>1127</v>
      </c>
      <c r="B87" s="18">
        <f t="shared" ref="B87:K87" si="39">$B$23*(1+$B$8)^(B78-1)</f>
        <v>-43346.669632065918</v>
      </c>
      <c r="C87" s="18">
        <f t="shared" si="39"/>
        <v>-44647.069721027889</v>
      </c>
      <c r="D87" s="18">
        <f t="shared" si="39"/>
        <v>-45986.481812658734</v>
      </c>
      <c r="E87" s="18">
        <f t="shared" si="39"/>
        <v>-47366.076267038494</v>
      </c>
      <c r="F87" s="18">
        <f t="shared" si="39"/>
        <v>-48787.058555049647</v>
      </c>
      <c r="G87" s="18">
        <f t="shared" si="39"/>
        <v>-50250.670311701135</v>
      </c>
      <c r="H87" s="18">
        <f t="shared" si="39"/>
        <v>-51758.190421052175</v>
      </c>
      <c r="I87" s="18">
        <f t="shared" si="39"/>
        <v>-53310.936133683732</v>
      </c>
      <c r="J87" s="18">
        <f t="shared" si="39"/>
        <v>-54910.264217694246</v>
      </c>
      <c r="K87" s="19">
        <f t="shared" si="39"/>
        <v>-56557.572144225065</v>
      </c>
      <c r="N87" s="3453"/>
      <c r="O87" s="3455"/>
      <c r="Q87" s="92"/>
      <c r="R87" s="856"/>
      <c r="S87" s="856"/>
      <c r="Z87" s="1630" t="s">
        <v>4361</v>
      </c>
      <c r="AA87" s="1632">
        <v>87</v>
      </c>
    </row>
    <row r="88" spans="1:27" ht="13.35" customHeight="1">
      <c r="A88" s="340" t="s">
        <v>3714</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3"/>
      <c r="O88" s="3455"/>
      <c r="Z88" s="1630" t="s">
        <v>4361</v>
      </c>
      <c r="AA88" s="1632">
        <v>88</v>
      </c>
    </row>
    <row r="89" spans="1:27" ht="13.35" customHeight="1">
      <c r="A89" s="17" t="s">
        <v>1128</v>
      </c>
      <c r="B89" s="18">
        <f t="shared" ref="B89:K89" si="40">SUM(B84:B88)</f>
        <v>631195.13457567431</v>
      </c>
      <c r="C89" s="18">
        <f t="shared" si="40"/>
        <v>633571.14212167379</v>
      </c>
      <c r="D89" s="18">
        <f t="shared" si="40"/>
        <v>635686.83356422721</v>
      </c>
      <c r="E89" s="18">
        <f t="shared" si="40"/>
        <v>637528.33949363558</v>
      </c>
      <c r="F89" s="18">
        <f t="shared" si="40"/>
        <v>639081.23641937622</v>
      </c>
      <c r="G89" s="18">
        <f t="shared" si="40"/>
        <v>640328.52738770738</v>
      </c>
      <c r="H89" s="18">
        <f t="shared" si="40"/>
        <v>641255.6219626033</v>
      </c>
      <c r="I89" s="18">
        <f t="shared" si="40"/>
        <v>641844.31554981146</v>
      </c>
      <c r="J89" s="18">
        <f t="shared" si="40"/>
        <v>642076.76804320305</v>
      </c>
      <c r="K89" s="1156">
        <f t="shared" si="40"/>
        <v>641936.48177193431</v>
      </c>
      <c r="N89" s="3453"/>
      <c r="O89" s="3455"/>
      <c r="Z89" s="1630" t="s">
        <v>4361</v>
      </c>
      <c r="AA89" s="1632">
        <v>89</v>
      </c>
    </row>
    <row r="90" spans="1:27" ht="13.35" customHeight="1">
      <c r="A90" s="17" t="str">
        <f>$A58</f>
        <v>Mortgage A</v>
      </c>
      <c r="B90" s="341">
        <f>IF('Part II-Sources of Funds'!$P$40="", 0,-'Part II-Sources of Funds'!$P$40)</f>
        <v>-406951.82316822727</v>
      </c>
      <c r="C90" s="341">
        <f>IF('Part II-Sources of Funds'!$P$40="", 0,-'Part II-Sources of Funds'!$P$40)</f>
        <v>-406951.82316822727</v>
      </c>
      <c r="D90" s="341">
        <f>IF('Part II-Sources of Funds'!$P$40="", 0,-'Part II-Sources of Funds'!$P$40)</f>
        <v>-406951.82316822727</v>
      </c>
      <c r="E90" s="341">
        <f>IF('Part II-Sources of Funds'!$P$40="", 0,-'Part II-Sources of Funds'!$P$40)</f>
        <v>-406951.82316822727</v>
      </c>
      <c r="F90" s="341">
        <f>IF('Part II-Sources of Funds'!$P$40="", 0,-'Part II-Sources of Funds'!$P$40)</f>
        <v>-406951.82316822727</v>
      </c>
      <c r="G90" s="341">
        <f>IF('Part II-Sources of Funds'!$P$40="", 0,-'Part II-Sources of Funds'!$P$40)</f>
        <v>-406951.82316822727</v>
      </c>
      <c r="H90" s="341">
        <f>IF('Part II-Sources of Funds'!$P$40="", 0,-'Part II-Sources of Funds'!$P$40)</f>
        <v>-406951.82316822727</v>
      </c>
      <c r="I90" s="341">
        <f>IF('Part II-Sources of Funds'!$P$40="", 0,-'Part II-Sources of Funds'!$P$40)</f>
        <v>-406951.82316822727</v>
      </c>
      <c r="J90" s="341">
        <f>IF('Part II-Sources of Funds'!$P$40="", 0,-'Part II-Sources of Funds'!$P$40)</f>
        <v>-406951.82316822727</v>
      </c>
      <c r="K90" s="341">
        <f>IF('Part II-Sources of Funds'!$P$40="", 0,-'Part II-Sources of Funds'!$P$40)</f>
        <v>-406951.82316822727</v>
      </c>
      <c r="N90" s="3453"/>
      <c r="O90" s="3455"/>
      <c r="Z90" s="1630" t="s">
        <v>4361</v>
      </c>
      <c r="AA90" s="1632">
        <v>90</v>
      </c>
    </row>
    <row r="91" spans="1:27" ht="13.35" customHeight="1">
      <c r="A91" s="17" t="str">
        <f>$A59</f>
        <v>Mortgage B</v>
      </c>
      <c r="B91" s="178">
        <v>-112121.53430529505</v>
      </c>
      <c r="C91" s="178">
        <v>-24180</v>
      </c>
      <c r="D91" s="178">
        <v>0</v>
      </c>
      <c r="E91" s="178">
        <v>0</v>
      </c>
      <c r="F91" s="178">
        <v>0</v>
      </c>
      <c r="G91" s="178">
        <v>0</v>
      </c>
      <c r="H91" s="178">
        <v>0</v>
      </c>
      <c r="I91" s="178">
        <v>0</v>
      </c>
      <c r="J91" s="178">
        <v>0</v>
      </c>
      <c r="K91" s="178">
        <v>0</v>
      </c>
      <c r="N91" s="3453"/>
      <c r="O91" s="3455"/>
      <c r="Z91" s="1630" t="s">
        <v>4361</v>
      </c>
      <c r="AA91" s="1632">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3"/>
      <c r="O92" s="3455"/>
      <c r="Z92" s="1630" t="s">
        <v>4361</v>
      </c>
      <c r="AA92" s="1632">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3"/>
      <c r="O93" s="3455"/>
      <c r="Z93" s="1630" t="s">
        <v>4361</v>
      </c>
      <c r="AA93" s="1632">
        <v>93</v>
      </c>
    </row>
    <row r="94" spans="1:27" ht="13.35" customHeight="1">
      <c r="A94" s="17" t="s">
        <v>710</v>
      </c>
      <c r="B94" s="138"/>
      <c r="C94" s="138"/>
      <c r="D94" s="138"/>
      <c r="E94" s="138"/>
      <c r="F94" s="138"/>
      <c r="G94" s="138"/>
      <c r="H94" s="138"/>
      <c r="I94" s="138"/>
      <c r="J94" s="138"/>
      <c r="K94" s="138"/>
      <c r="N94" s="3453"/>
      <c r="O94" s="3455"/>
      <c r="Z94" s="1630" t="s">
        <v>4361</v>
      </c>
      <c r="AA94" s="1632">
        <v>94</v>
      </c>
    </row>
    <row r="95" spans="1:27" ht="13.35" customHeight="1">
      <c r="A95" s="340" t="s">
        <v>1094</v>
      </c>
      <c r="B95" s="179">
        <f>+K63</f>
        <v>0</v>
      </c>
      <c r="C95" s="179">
        <f t="shared" ref="C95:K95" si="41">+B95</f>
        <v>0</v>
      </c>
      <c r="D95" s="179">
        <f t="shared" si="41"/>
        <v>0</v>
      </c>
      <c r="E95" s="179">
        <f t="shared" si="41"/>
        <v>0</v>
      </c>
      <c r="F95" s="179">
        <f t="shared" si="41"/>
        <v>0</v>
      </c>
      <c r="G95" s="179">
        <f t="shared" si="41"/>
        <v>0</v>
      </c>
      <c r="H95" s="179">
        <f t="shared" si="41"/>
        <v>0</v>
      </c>
      <c r="I95" s="179">
        <f t="shared" si="41"/>
        <v>0</v>
      </c>
      <c r="J95" s="179">
        <f t="shared" si="41"/>
        <v>0</v>
      </c>
      <c r="K95" s="179">
        <f t="shared" si="41"/>
        <v>0</v>
      </c>
      <c r="N95" s="3453"/>
      <c r="O95" s="3455"/>
      <c r="Z95" s="1630" t="s">
        <v>4361</v>
      </c>
      <c r="AA95" s="1632">
        <v>95</v>
      </c>
    </row>
    <row r="96" spans="1:27" ht="13.35" customHeight="1">
      <c r="A96" s="17" t="s">
        <v>1095</v>
      </c>
      <c r="B96" s="18">
        <f t="shared" ref="B96:K96" si="42">SUM(B89:B95)</f>
        <v>112121.77710215199</v>
      </c>
      <c r="C96" s="18">
        <f t="shared" si="42"/>
        <v>202439.31895344652</v>
      </c>
      <c r="D96" s="18">
        <f t="shared" si="42"/>
        <v>228735.01039599994</v>
      </c>
      <c r="E96" s="18">
        <f t="shared" si="42"/>
        <v>230576.5163254083</v>
      </c>
      <c r="F96" s="18">
        <f t="shared" si="42"/>
        <v>232129.41325114894</v>
      </c>
      <c r="G96" s="18">
        <f t="shared" si="42"/>
        <v>233376.7042194801</v>
      </c>
      <c r="H96" s="18">
        <f t="shared" si="42"/>
        <v>234303.79879437602</v>
      </c>
      <c r="I96" s="18">
        <f t="shared" si="42"/>
        <v>234892.49238158419</v>
      </c>
      <c r="J96" s="18">
        <f t="shared" si="42"/>
        <v>235124.94487497577</v>
      </c>
      <c r="K96" s="19">
        <f t="shared" si="42"/>
        <v>234984.65860370704</v>
      </c>
      <c r="N96" s="3453"/>
      <c r="O96" s="3455"/>
      <c r="Z96" s="1630" t="s">
        <v>4361</v>
      </c>
      <c r="AA96" s="1632">
        <v>96</v>
      </c>
    </row>
    <row r="97" spans="1:27" ht="13.35" customHeight="1">
      <c r="A97" s="17" t="str">
        <f>$A66</f>
        <v>DCR Mortgage A</v>
      </c>
      <c r="B97" s="20">
        <f t="shared" ref="B97:K97" si="43">IF(B90=0,"",-B89/B90)</f>
        <v>1.5510315930314642</v>
      </c>
      <c r="C97" s="20">
        <f t="shared" si="43"/>
        <v>1.5568701405221761</v>
      </c>
      <c r="D97" s="20">
        <f t="shared" si="43"/>
        <v>1.562069014988648</v>
      </c>
      <c r="E97" s="20">
        <f t="shared" si="43"/>
        <v>1.5665941352229591</v>
      </c>
      <c r="F97" s="20">
        <f t="shared" si="43"/>
        <v>1.570410058478078</v>
      </c>
      <c r="G97" s="20">
        <f t="shared" si="43"/>
        <v>1.5734750182529738</v>
      </c>
      <c r="H97" s="20">
        <f t="shared" si="43"/>
        <v>1.5757531615665441</v>
      </c>
      <c r="I97" s="20">
        <f t="shared" si="43"/>
        <v>1.5771997543907881</v>
      </c>
      <c r="J97" s="20">
        <f t="shared" si="43"/>
        <v>1.5777709583519397</v>
      </c>
      <c r="K97" s="21">
        <f t="shared" si="43"/>
        <v>1.5774262338335028</v>
      </c>
      <c r="N97" s="3453"/>
      <c r="O97" s="3455"/>
      <c r="Z97" s="1630" t="s">
        <v>4361</v>
      </c>
      <c r="AA97" s="1632">
        <v>97</v>
      </c>
    </row>
    <row r="98" spans="1:27" ht="13.35" customHeight="1">
      <c r="A98" s="17" t="str">
        <f>$A67</f>
        <v>DCR Mortgage B</v>
      </c>
      <c r="B98" s="20">
        <f t="shared" ref="B98:K98" si="44">IF(B91=0,"",-(B89+B90)/B91)</f>
        <v>2.0000021654792581</v>
      </c>
      <c r="C98" s="20">
        <f t="shared" si="44"/>
        <v>9.372180271027565</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453"/>
      <c r="O98" s="3455"/>
      <c r="Z98" s="1630" t="s">
        <v>4361</v>
      </c>
      <c r="AA98" s="1632">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453"/>
      <c r="O99" s="3455"/>
      <c r="Z99" s="1630" t="s">
        <v>4361</v>
      </c>
      <c r="AA99" s="1632">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453"/>
      <c r="O100" s="3455"/>
      <c r="Z100" s="1630" t="s">
        <v>4361</v>
      </c>
      <c r="AA100" s="1632">
        <v>100</v>
      </c>
    </row>
    <row r="101" spans="1:27" ht="13.35" customHeight="1">
      <c r="A101" s="340" t="s">
        <v>3129</v>
      </c>
      <c r="B101" s="20">
        <f t="shared" ref="B101:K101" si="47">IF(AND(B90=0,B91=0,B92=0,B93=0),"",-B89/(B90+B91+B92+B93))</f>
        <v>1.2160037218012509</v>
      </c>
      <c r="C101" s="20">
        <f t="shared" si="47"/>
        <v>1.469553180894408</v>
      </c>
      <c r="D101" s="20">
        <f t="shared" si="47"/>
        <v>1.562069014988648</v>
      </c>
      <c r="E101" s="20">
        <f t="shared" si="47"/>
        <v>1.5665941352229591</v>
      </c>
      <c r="F101" s="20">
        <f t="shared" si="47"/>
        <v>1.570410058478078</v>
      </c>
      <c r="G101" s="20">
        <f t="shared" si="47"/>
        <v>1.5734750182529738</v>
      </c>
      <c r="H101" s="20">
        <f t="shared" si="47"/>
        <v>1.5757531615665441</v>
      </c>
      <c r="I101" s="20">
        <f t="shared" si="47"/>
        <v>1.5771997543907881</v>
      </c>
      <c r="J101" s="20">
        <f t="shared" si="47"/>
        <v>1.5777709583519397</v>
      </c>
      <c r="K101" s="21">
        <f t="shared" si="47"/>
        <v>1.5774262338335028</v>
      </c>
      <c r="N101" s="3453"/>
      <c r="O101" s="3455"/>
      <c r="Z101" s="1630" t="s">
        <v>4361</v>
      </c>
      <c r="AA101" s="1632">
        <v>101</v>
      </c>
    </row>
    <row r="102" spans="1:27" ht="13.35" customHeight="1">
      <c r="A102" s="17" t="s">
        <v>717</v>
      </c>
      <c r="B102" s="220">
        <f>IF(OR(B86="Choose mgt fee",B86="Choose One!"),"",(B79+B80+B81+B82+B83) / -(B85+B86+B87))</f>
        <v>1.5770734290269934</v>
      </c>
      <c r="C102" s="220">
        <f t="shared" ref="C102:K102" si="48">IF(OR(C86="Choose mgt fee",C86="Choose One!"),"",(C79+C80+C81+C82+C83) / -(C85+C86+C87))</f>
        <v>1.5627191013027422</v>
      </c>
      <c r="D102" s="220">
        <f t="shared" si="48"/>
        <v>1.5484862542307267</v>
      </c>
      <c r="E102" s="220">
        <f t="shared" si="48"/>
        <v>1.5343747772523713</v>
      </c>
      <c r="F102" s="220">
        <f t="shared" si="48"/>
        <v>1.5203844662964612</v>
      </c>
      <c r="G102" s="220">
        <f t="shared" si="48"/>
        <v>1.5065126483004092</v>
      </c>
      <c r="H102" s="220">
        <f t="shared" si="48"/>
        <v>1.4927603699910537</v>
      </c>
      <c r="I102" s="220">
        <f t="shared" si="48"/>
        <v>1.4791251026515562</v>
      </c>
      <c r="J102" s="220">
        <f t="shared" si="48"/>
        <v>1.465605637107499</v>
      </c>
      <c r="K102" s="221">
        <f t="shared" si="48"/>
        <v>1.4522028834891161</v>
      </c>
      <c r="N102" s="3453"/>
      <c r="O102" s="3455"/>
      <c r="Z102" s="1630" t="s">
        <v>4361</v>
      </c>
      <c r="AA102" s="1632">
        <v>102</v>
      </c>
    </row>
    <row r="103" spans="1:27" ht="13.35" customHeight="1">
      <c r="A103" s="340" t="s">
        <v>2399</v>
      </c>
      <c r="B103" s="177">
        <f>IF('Part II-Sources of Funds'!$I$40="","",-FV('Part II-Sources of Funds'!$K$40/12,12,B90/12,K72))</f>
        <v>4139421.8225131715</v>
      </c>
      <c r="C103" s="177">
        <f>IF('Part II-Sources of Funds'!$I$40="","",-FV('Part II-Sources of Funds'!$K$40/12,12,C90/12,B103))</f>
        <v>4036149.8957515499</v>
      </c>
      <c r="D103" s="177">
        <f>IF('Part II-Sources of Funds'!$I$40="","",-FV('Part II-Sources of Funds'!$K$40/12,12,D90/12,C103))</f>
        <v>3924949.1470591808</v>
      </c>
      <c r="E103" s="177">
        <f>IF('Part II-Sources of Funds'!$I$40="","",-FV('Part II-Sources of Funds'!$K$40/12,12,E90/12,D103))</f>
        <v>3805210.8319381084</v>
      </c>
      <c r="F103" s="177">
        <f>IF('Part II-Sources of Funds'!$I$40="","",-FV('Part II-Sources of Funds'!$K$40/12,12,F90/12,E103))</f>
        <v>3676279.4688256476</v>
      </c>
      <c r="G103" s="177">
        <f>IF('Part II-Sources of Funds'!$I$40="","",-FV('Part II-Sources of Funds'!$K$40/12,12,G90/12,F103))</f>
        <v>3537449.2508020462</v>
      </c>
      <c r="H103" s="177">
        <f>IF('Part II-Sources of Funds'!$I$40="","",-FV('Part II-Sources of Funds'!$K$40/12,12,H90/12,G103))</f>
        <v>3387960.1818028372</v>
      </c>
      <c r="I103" s="177">
        <f>IF('Part II-Sources of Funds'!$I$40="","",-FV('Part II-Sources of Funds'!$K$40/12,12,I90/12,H103))</f>
        <v>3226993.9161844165</v>
      </c>
      <c r="J103" s="177">
        <f>IF('Part II-Sources of Funds'!$I$40="","",-FV('Part II-Sources of Funds'!$K$40/12,12,J90/12,I103))</f>
        <v>3053669.2788674431</v>
      </c>
      <c r="K103" s="177">
        <f>IF('Part II-Sources of Funds'!$I$40="","",-FV('Part II-Sources of Funds'!$K$40/12,12,K90/12,J103))</f>
        <v>2867037.4415340531</v>
      </c>
      <c r="N103" s="3453"/>
      <c r="O103" s="3455"/>
      <c r="Z103" s="1630" t="s">
        <v>4361</v>
      </c>
      <c r="AA103" s="1632">
        <v>103</v>
      </c>
    </row>
    <row r="104" spans="1:27" ht="13.35" customHeight="1">
      <c r="A104" s="340" t="s">
        <v>2400</v>
      </c>
      <c r="B104" s="178">
        <f>IF('Part II-Sources of Funds'!$I$41="","",-FV('Part II-Sources of Funds'!$K$41/12,12,B91/12,K73))</f>
        <v>59141.176816970546</v>
      </c>
      <c r="C104" s="178">
        <v>0</v>
      </c>
      <c r="D104" s="178">
        <f>IF('Part II-Sources of Funds'!$I$41="","",-FV('Part II-Sources of Funds'!$K$41/12,12,D91/12,C104))</f>
        <v>0</v>
      </c>
      <c r="E104" s="178">
        <f>IF('Part II-Sources of Funds'!$I$41="","",-FV('Part II-Sources of Funds'!$K$41/12,12,E91/12,D104))</f>
        <v>0</v>
      </c>
      <c r="F104" s="178">
        <f>IF('Part II-Sources of Funds'!$I$41="","",-FV('Part II-Sources of Funds'!$K$41/12,12,F91/12,E104))</f>
        <v>0</v>
      </c>
      <c r="G104" s="178">
        <f>IF('Part II-Sources of Funds'!$I$41="","",-FV('Part II-Sources of Funds'!$K$41/12,12,G91/12,F104))</f>
        <v>0</v>
      </c>
      <c r="H104" s="178">
        <f>IF('Part II-Sources of Funds'!$I$41="","",-FV('Part II-Sources of Funds'!$K$41/12,12,H91/12,G104))</f>
        <v>0</v>
      </c>
      <c r="I104" s="178">
        <f>IF('Part II-Sources of Funds'!$I$41="","",-FV('Part II-Sources of Funds'!$K$41/12,12,I91/12,H104))</f>
        <v>0</v>
      </c>
      <c r="J104" s="178">
        <f>IF('Part II-Sources of Funds'!$I$41="","",-FV('Part II-Sources of Funds'!$K$41/12,12,J91/12,I104))</f>
        <v>0</v>
      </c>
      <c r="K104" s="178">
        <f>IF('Part II-Sources of Funds'!$I$41="","",-FV('Part II-Sources of Funds'!$K$41/12,12,K91/12,J104))</f>
        <v>0</v>
      </c>
      <c r="N104" s="3453"/>
      <c r="O104" s="3455"/>
      <c r="Z104" s="1630" t="s">
        <v>4361</v>
      </c>
      <c r="AA104" s="1632">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3"/>
      <c r="O105" s="3455"/>
      <c r="Z105" s="1630" t="s">
        <v>4361</v>
      </c>
      <c r="AA105" s="1632">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6"/>
      <c r="O106" s="3468"/>
      <c r="Z106" s="1630" t="s">
        <v>4361</v>
      </c>
      <c r="AA106" s="1632">
        <v>106</v>
      </c>
    </row>
    <row r="107" spans="1:27" ht="4.3499999999999996" customHeight="1">
      <c r="B107" s="13"/>
      <c r="C107" s="13"/>
      <c r="D107" s="13"/>
      <c r="E107" s="13"/>
      <c r="F107" s="13"/>
      <c r="G107" s="13"/>
      <c r="H107" s="13"/>
      <c r="I107" s="13"/>
      <c r="J107" s="13"/>
      <c r="K107" s="13"/>
      <c r="AA107" s="1632">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1" t="s">
        <v>3121</v>
      </c>
      <c r="O108" s="3101"/>
      <c r="AA108" s="1632">
        <v>108</v>
      </c>
    </row>
    <row r="109" spans="1:27" ht="13.35" customHeight="1">
      <c r="A109" s="14" t="s">
        <v>2209</v>
      </c>
      <c r="B109" s="15">
        <f>$B$15*(1+$B$6)^(B108-1)</f>
        <v>2243624.9125337778</v>
      </c>
      <c r="C109" s="15">
        <f>$B$15*(1+$B$6)^(C108-1)</f>
        <v>2288497.4107844527</v>
      </c>
      <c r="D109" s="15">
        <f>$B$15*(1+$B$6)^(D108-1)</f>
        <v>2334267.3590001422</v>
      </c>
      <c r="E109" s="15">
        <f>$B$15*(1+$B$6)^(E108-1)</f>
        <v>2380952.7061801455</v>
      </c>
      <c r="F109" s="496">
        <f>$B$15*(1+$B$6)^(F108-1)</f>
        <v>2428571.7603037478</v>
      </c>
      <c r="G109" s="13"/>
      <c r="H109" s="13"/>
      <c r="I109" s="13"/>
      <c r="J109" s="13"/>
      <c r="K109" s="13"/>
      <c r="N109" s="3477"/>
      <c r="O109" s="3479"/>
      <c r="Z109" s="1630" t="s">
        <v>4362</v>
      </c>
      <c r="AA109" s="1632">
        <v>109</v>
      </c>
    </row>
    <row r="110" spans="1:27" ht="13.35" customHeight="1">
      <c r="A110" s="17" t="s">
        <v>951</v>
      </c>
      <c r="B110" s="18">
        <f>$B$16*(1+$B$6)^(B108-1)</f>
        <v>17389.071207392193</v>
      </c>
      <c r="C110" s="18">
        <f>$B$16*(1+$B$6)^(C108-1)</f>
        <v>17736.852631540034</v>
      </c>
      <c r="D110" s="18">
        <f>$B$16*(1+$B$6)^(D108-1)</f>
        <v>18091.589684170838</v>
      </c>
      <c r="E110" s="18">
        <f>$B$16*(1+$B$6)^(E108-1)</f>
        <v>18453.421477854255</v>
      </c>
      <c r="F110" s="19">
        <f>$B$16*(1+$B$6)^(F108-1)</f>
        <v>18822.489907411338</v>
      </c>
      <c r="G110" s="13"/>
      <c r="H110" s="13"/>
      <c r="I110" s="13"/>
      <c r="J110" s="13"/>
      <c r="K110" s="13"/>
      <c r="N110" s="3453"/>
      <c r="O110" s="3455"/>
      <c r="Z110" s="1630" t="s">
        <v>4362</v>
      </c>
      <c r="AA110" s="1632">
        <v>110</v>
      </c>
    </row>
    <row r="111" spans="1:27" ht="13.35" customHeight="1">
      <c r="A111" s="17" t="s">
        <v>2210</v>
      </c>
      <c r="B111" s="18">
        <f>-(B109+B110)*$B$9</f>
        <v>-158270.97886188191</v>
      </c>
      <c r="C111" s="18">
        <f>-(C109+C110)*$B$9</f>
        <v>-161436.39843911951</v>
      </c>
      <c r="D111" s="18">
        <f>-(D109+D110)*$B$9</f>
        <v>-164665.1264079019</v>
      </c>
      <c r="E111" s="18">
        <f>-(E109+E110)*$B$9</f>
        <v>-167958.42893605999</v>
      </c>
      <c r="F111" s="19">
        <f>-(F109+F110)*$B$9</f>
        <v>-171317.59751478117</v>
      </c>
      <c r="G111" s="13"/>
      <c r="H111" s="13"/>
      <c r="I111" s="13"/>
      <c r="J111" s="13"/>
      <c r="K111" s="13"/>
      <c r="N111" s="3453"/>
      <c r="O111" s="3455"/>
      <c r="Z111" s="1630" t="s">
        <v>4362</v>
      </c>
      <c r="AA111" s="1632">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3"/>
      <c r="O112" s="3455"/>
      <c r="Z112" s="1630" t="s">
        <v>4362</v>
      </c>
      <c r="AA112" s="1632">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3"/>
      <c r="O113" s="3455"/>
      <c r="Z113" s="1630" t="s">
        <v>4362</v>
      </c>
      <c r="AA113" s="1632">
        <v>113</v>
      </c>
    </row>
    <row r="114" spans="1:27" ht="13.35" customHeight="1">
      <c r="A114" s="340" t="s">
        <v>3715</v>
      </c>
      <c r="B114" s="18">
        <f>SUM(B109:B113)</f>
        <v>2102743.0048792879</v>
      </c>
      <c r="C114" s="18">
        <f>SUM(C109:C113)</f>
        <v>2144797.8649768732</v>
      </c>
      <c r="D114" s="18">
        <f>SUM(D109:D113)</f>
        <v>2187693.8222764111</v>
      </c>
      <c r="E114" s="18">
        <f>SUM(E109:E113)</f>
        <v>2231447.6987219397</v>
      </c>
      <c r="F114" s="19">
        <f>SUM(F109:F113)</f>
        <v>2276076.6526963781</v>
      </c>
      <c r="G114" s="13"/>
      <c r="H114" s="13"/>
      <c r="I114" s="13"/>
      <c r="J114" s="13"/>
      <c r="K114" s="13"/>
      <c r="N114" s="3453"/>
      <c r="O114" s="3455"/>
      <c r="Z114" s="1630" t="s">
        <v>4362</v>
      </c>
      <c r="AA114" s="1632">
        <v>114</v>
      </c>
    </row>
    <row r="115" spans="1:27" ht="13.35" customHeight="1">
      <c r="A115" s="17" t="s">
        <v>571</v>
      </c>
      <c r="B115" s="18">
        <f>$B$21*(1+$B$7)^(B108-1)</f>
        <v>-1318974.4268444607</v>
      </c>
      <c r="C115" s="18">
        <f>$B$21*(1+$B$7)^(C108-1)</f>
        <v>-1358543.6596497947</v>
      </c>
      <c r="D115" s="18">
        <f>$B$21*(1+$B$7)^(D108-1)</f>
        <v>-1399299.9694392884</v>
      </c>
      <c r="E115" s="18">
        <f>$B$21*(1+$B$7)^(E108-1)</f>
        <v>-1441278.9685224672</v>
      </c>
      <c r="F115" s="19">
        <f>$B$21*(1+$B$7)^(F108-1)</f>
        <v>-1484517.3375781409</v>
      </c>
      <c r="G115" s="13"/>
      <c r="H115" s="13"/>
      <c r="I115" s="13"/>
      <c r="J115" s="13"/>
      <c r="K115" s="13"/>
      <c r="N115" s="3453"/>
      <c r="O115" s="3455"/>
      <c r="Z115" s="1630" t="s">
        <v>4362</v>
      </c>
      <c r="AA115" s="1632">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-84110</v>
      </c>
      <c r="C116" s="18">
        <f>IF(AND('Part VI-Pro Forma'!$G$9="Yes",'Part VI-Pro Forma'!$G$10="Yes"),"Choose One!",IF('Part VI-Pro Forma'!$G$9="Yes",ROUND((-$K$9*(1+'Part VI-Pro Forma'!$B$7)^('Part VI-Pro Forma'!C108-1)),),IF('Part VI-Pro Forma'!$G$10="Yes",ROUND((-(SUM(C109:C112)*'Part VI-Pro Forma'!$K$10)),),"Choose mgt fee")))</f>
        <v>-85792</v>
      </c>
      <c r="D116" s="18">
        <f>IF(AND('Part VI-Pro Forma'!$G$9="Yes",'Part VI-Pro Forma'!$G$10="Yes"),"Choose One!",IF('Part VI-Pro Forma'!$G$9="Yes",ROUND((-$K$9*(1+'Part VI-Pro Forma'!$B$7)^('Part VI-Pro Forma'!D108-1)),),IF('Part VI-Pro Forma'!$G$10="Yes",ROUND((-(SUM(D109:D112)*'Part VI-Pro Forma'!$K$10)),),"Choose mgt fee")))</f>
        <v>-87508</v>
      </c>
      <c r="E116" s="18">
        <f>IF(AND('Part VI-Pro Forma'!$G$9="Yes",'Part VI-Pro Forma'!$G$10="Yes"),"Choose One!",IF('Part VI-Pro Forma'!$G$9="Yes",ROUND((-$K$9*(1+'Part VI-Pro Forma'!$B$7)^('Part VI-Pro Forma'!E108-1)),),IF('Part VI-Pro Forma'!$G$10="Yes",ROUND((-(SUM(E109:E112)*'Part VI-Pro Forma'!$K$10)),),"Choose mgt fee")))</f>
        <v>-89258</v>
      </c>
      <c r="F116" s="19">
        <f>IF(AND('Part VI-Pro Forma'!$G$9="Yes",'Part VI-Pro Forma'!$G$10="Yes"),"Choose One!",IF('Part VI-Pro Forma'!$G$9="Yes",ROUND((-$K$9*(1+'Part VI-Pro Forma'!$B$7)^('Part VI-Pro Forma'!F108-1)),),IF('Part VI-Pro Forma'!$G$10="Yes",ROUND((-(SUM(F109:F112)*'Part VI-Pro Forma'!$K$10)),),"Choose mgt fee")))</f>
        <v>-91043</v>
      </c>
      <c r="G116" s="13"/>
      <c r="H116" s="13"/>
      <c r="I116" s="13"/>
      <c r="J116" s="13"/>
      <c r="K116" s="13"/>
      <c r="N116" s="3453"/>
      <c r="O116" s="3455"/>
      <c r="Z116" s="1630" t="s">
        <v>4362</v>
      </c>
      <c r="AA116" s="1632">
        <v>116</v>
      </c>
    </row>
    <row r="117" spans="1:27" ht="13.35" customHeight="1">
      <c r="A117" s="17" t="s">
        <v>1127</v>
      </c>
      <c r="B117" s="18">
        <f>$B$23*(1+$B$8)^(B108-1)</f>
        <v>-58254.299308551817</v>
      </c>
      <c r="C117" s="18">
        <f>$B$23*(1+$B$8)^(C108-1)</f>
        <v>-60001.928287808383</v>
      </c>
      <c r="D117" s="18">
        <f>$B$23*(1+$B$8)^(D108-1)</f>
        <v>-61801.986136442625</v>
      </c>
      <c r="E117" s="18">
        <f>$B$23*(1+$B$8)^(E108-1)</f>
        <v>-63656.045720535905</v>
      </c>
      <c r="F117" s="19">
        <f>$B$23*(1+$B$8)^(F108-1)</f>
        <v>-65565.727092151967</v>
      </c>
      <c r="G117" s="13"/>
      <c r="H117" s="13"/>
      <c r="I117" s="13"/>
      <c r="J117" s="13"/>
      <c r="K117" s="13"/>
      <c r="N117" s="3453"/>
      <c r="O117" s="3455"/>
      <c r="Q117" s="92">
        <v>10</v>
      </c>
      <c r="R117" s="856">
        <f>-SUM(B123:K123)</f>
        <v>0</v>
      </c>
      <c r="S117" s="856">
        <f>SUM(B124:K124)+R117</f>
        <v>0</v>
      </c>
      <c r="Z117" s="1630" t="s">
        <v>4362</v>
      </c>
      <c r="AA117" s="1632">
        <v>117</v>
      </c>
    </row>
    <row r="118" spans="1:27" ht="13.35" customHeight="1">
      <c r="A118" s="340" t="s">
        <v>3714</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3"/>
      <c r="O118" s="3455"/>
      <c r="Z118" s="1630" t="s">
        <v>4362</v>
      </c>
      <c r="AA118" s="1632">
        <v>118</v>
      </c>
    </row>
    <row r="119" spans="1:27" ht="13.35" customHeight="1">
      <c r="A119" s="17" t="s">
        <v>1128</v>
      </c>
      <c r="B119" s="18">
        <f>SUM(B114:B118)</f>
        <v>641404.27872627543</v>
      </c>
      <c r="C119" s="18">
        <f>SUM(C114:C118)</f>
        <v>640460.27703927003</v>
      </c>
      <c r="D119" s="18">
        <f>SUM(D114:D118)</f>
        <v>639083.86670068011</v>
      </c>
      <c r="E119" s="18">
        <f>SUM(E114:E118)</f>
        <v>637254.6844789366</v>
      </c>
      <c r="F119" s="1156">
        <f>SUM(F114:F118)</f>
        <v>634950.58802608517</v>
      </c>
      <c r="G119" s="13"/>
      <c r="H119" s="13"/>
      <c r="I119" s="13"/>
      <c r="J119" s="13"/>
      <c r="K119" s="13"/>
      <c r="N119" s="3453"/>
      <c r="O119" s="3455"/>
      <c r="Z119" s="1630" t="s">
        <v>4362</v>
      </c>
      <c r="AA119" s="1632">
        <v>119</v>
      </c>
    </row>
    <row r="120" spans="1:27" ht="13.35" customHeight="1">
      <c r="A120" s="17" t="str">
        <f>$A90</f>
        <v>Mortgage A</v>
      </c>
      <c r="B120" s="341">
        <f>IF('Part II-Sources of Funds'!$P$40="", 0,-'Part II-Sources of Funds'!$P$40)</f>
        <v>-406951.82316822727</v>
      </c>
      <c r="C120" s="341">
        <f>IF('Part II-Sources of Funds'!$P$40="", 0,-'Part II-Sources of Funds'!$P$40)</f>
        <v>-406951.82316822727</v>
      </c>
      <c r="D120" s="341">
        <f>IF('Part II-Sources of Funds'!$P$40="", 0,-'Part II-Sources of Funds'!$P$40)</f>
        <v>-406951.82316822727</v>
      </c>
      <c r="E120" s="341">
        <f>IF('Part II-Sources of Funds'!$P$40="", 0,-'Part II-Sources of Funds'!$P$40)</f>
        <v>-406951.82316822727</v>
      </c>
      <c r="F120" s="341">
        <f>IF('Part II-Sources of Funds'!$P$40="", 0,-'Part II-Sources of Funds'!$P$40)</f>
        <v>-406951.82316822727</v>
      </c>
      <c r="G120" s="13"/>
      <c r="H120" s="13"/>
      <c r="I120" s="13"/>
      <c r="J120" s="13"/>
      <c r="K120" s="13"/>
      <c r="N120" s="3453"/>
      <c r="O120" s="3455"/>
      <c r="Z120" s="1630" t="s">
        <v>4362</v>
      </c>
      <c r="AA120" s="1632">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3"/>
      <c r="O121" s="3455"/>
      <c r="Z121" s="1630" t="s">
        <v>4362</v>
      </c>
      <c r="AA121" s="1632">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3"/>
      <c r="O122" s="3455"/>
      <c r="Z122" s="1630" t="s">
        <v>4362</v>
      </c>
      <c r="AA122" s="1632">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3"/>
      <c r="O123" s="3455"/>
      <c r="Z123" s="1630" t="s">
        <v>4362</v>
      </c>
      <c r="AA123" s="1632">
        <v>123</v>
      </c>
    </row>
    <row r="124" spans="1:27" ht="13.35" customHeight="1">
      <c r="A124" s="17" t="s">
        <v>710</v>
      </c>
      <c r="B124" s="138"/>
      <c r="C124" s="138"/>
      <c r="D124" s="138"/>
      <c r="E124" s="138"/>
      <c r="F124" s="138"/>
      <c r="G124" s="13"/>
      <c r="H124" s="13"/>
      <c r="I124" s="13"/>
      <c r="J124" s="13"/>
      <c r="K124" s="13"/>
      <c r="N124" s="3453"/>
      <c r="O124" s="3455"/>
      <c r="Z124" s="1630" t="s">
        <v>4362</v>
      </c>
      <c r="AA124" s="1632">
        <v>124</v>
      </c>
    </row>
    <row r="125" spans="1:27" ht="13.35" customHeight="1">
      <c r="A125" s="17" t="s">
        <v>1094</v>
      </c>
      <c r="B125" s="179">
        <f>+K95</f>
        <v>0</v>
      </c>
      <c r="C125" s="179">
        <f>+B125</f>
        <v>0</v>
      </c>
      <c r="D125" s="179">
        <f>+C125</f>
        <v>0</v>
      </c>
      <c r="E125" s="179">
        <f>+D125</f>
        <v>0</v>
      </c>
      <c r="F125" s="179">
        <f>+E125</f>
        <v>0</v>
      </c>
      <c r="G125" s="13"/>
      <c r="H125" s="13"/>
      <c r="I125" s="13"/>
      <c r="J125" s="13"/>
      <c r="K125" s="13"/>
      <c r="N125" s="3453"/>
      <c r="O125" s="3455"/>
      <c r="Z125" s="1630" t="s">
        <v>4362</v>
      </c>
      <c r="AA125" s="1632">
        <v>125</v>
      </c>
    </row>
    <row r="126" spans="1:27" ht="13.35" customHeight="1">
      <c r="A126" s="17" t="s">
        <v>1095</v>
      </c>
      <c r="B126" s="18">
        <f>SUM(B119:B125)</f>
        <v>234452.45555804815</v>
      </c>
      <c r="C126" s="18">
        <f>SUM(C119:C125)</f>
        <v>233508.45387104276</v>
      </c>
      <c r="D126" s="18">
        <f>SUM(D119:D125)</f>
        <v>232132.04353245284</v>
      </c>
      <c r="E126" s="18">
        <f>SUM(E119:E125)</f>
        <v>230302.86131070933</v>
      </c>
      <c r="F126" s="19">
        <f>SUM(F119:F125)</f>
        <v>227998.7648578579</v>
      </c>
      <c r="G126" s="13"/>
      <c r="H126" s="13"/>
      <c r="I126" s="13"/>
      <c r="J126" s="13"/>
      <c r="K126" s="13"/>
      <c r="N126" s="3453"/>
      <c r="O126" s="3455"/>
      <c r="Z126" s="1630" t="s">
        <v>4362</v>
      </c>
      <c r="AA126" s="1632">
        <v>126</v>
      </c>
    </row>
    <row r="127" spans="1:27" ht="13.35" customHeight="1">
      <c r="A127" s="17" t="str">
        <f>$A97</f>
        <v>DCR Mortgage A</v>
      </c>
      <c r="B127" s="20">
        <f>IF(B120=0,"",-B119/B120)</f>
        <v>1.5761184548401184</v>
      </c>
      <c r="C127" s="20">
        <f>IF(C120=0,"",-C119/C120)</f>
        <v>1.573798765792761</v>
      </c>
      <c r="D127" s="20">
        <f>IF(D120=0,"",-D119/D120)</f>
        <v>1.5704165218507775</v>
      </c>
      <c r="E127" s="20">
        <f>IF(E120=0,"",-E119/E120)</f>
        <v>1.5659216845810908</v>
      </c>
      <c r="F127" s="21">
        <f>IF(F120=0,"",-F119/F120)</f>
        <v>1.5602598437398003</v>
      </c>
      <c r="G127" s="13"/>
      <c r="H127" s="13"/>
      <c r="I127" s="13"/>
      <c r="J127" s="13"/>
      <c r="K127" s="13"/>
      <c r="N127" s="3453"/>
      <c r="O127" s="3455"/>
      <c r="Z127" s="1630" t="s">
        <v>4362</v>
      </c>
      <c r="AA127" s="1632">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3"/>
      <c r="O128" s="3455"/>
      <c r="Z128" s="1630" t="s">
        <v>4362</v>
      </c>
      <c r="AA128" s="1632">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3"/>
      <c r="O129" s="3455"/>
      <c r="Z129" s="1630" t="s">
        <v>4362</v>
      </c>
      <c r="AA129" s="1632">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3"/>
      <c r="O130" s="3455"/>
      <c r="Z130" s="1630" t="s">
        <v>4362</v>
      </c>
      <c r="AA130" s="1632">
        <v>130</v>
      </c>
    </row>
    <row r="131" spans="1:27" ht="13.35" customHeight="1">
      <c r="A131" s="340" t="s">
        <v>3129</v>
      </c>
      <c r="B131" s="20">
        <f>IF(AND(B120=0,B121=0,B122=0,B123=0),"",-B119/(B120+B121+B122+B123))</f>
        <v>1.5761184548401184</v>
      </c>
      <c r="C131" s="20">
        <f>IF(AND(C120=0,C121=0,C122=0,C123=0),"",-C119/(C120+C121+C122+C123))</f>
        <v>1.573798765792761</v>
      </c>
      <c r="D131" s="20">
        <f>IF(AND(D120=0,D121=0,D122=0,D123=0),"",-D119/(D120+D121+D122+D123))</f>
        <v>1.5704165218507775</v>
      </c>
      <c r="E131" s="20">
        <f>IF(AND(E120=0,E121=0,E122=0,E123=0),"",-E119/(E120+E121+E122+E123))</f>
        <v>1.5659216845810908</v>
      </c>
      <c r="F131" s="21">
        <f>IF(AND(F120=0,F121=0,F122=0,F123=0),"",-F119/(F120+F121+F122+F123))</f>
        <v>1.5602598437398003</v>
      </c>
      <c r="G131" s="13"/>
      <c r="H131" s="13"/>
      <c r="I131" s="13"/>
      <c r="J131" s="13"/>
      <c r="K131" s="13"/>
      <c r="N131" s="3453"/>
      <c r="O131" s="3455"/>
      <c r="Z131" s="1630" t="s">
        <v>4362</v>
      </c>
      <c r="AA131" s="1632">
        <v>131</v>
      </c>
    </row>
    <row r="132" spans="1:27" ht="13.35" customHeight="1">
      <c r="A132" s="17" t="s">
        <v>717</v>
      </c>
      <c r="B132" s="220">
        <f>IF(OR(B116="Choose mgt fee",B116="Choose One!"),"",(B109+B110+B111+B112+B113) / -(B115+B116+B117))</f>
        <v>1.4389155417887118</v>
      </c>
      <c r="C132" s="220">
        <f>IF(OR(C116="Choose mgt fee",C116="Choose One!"),"",(C109+C110+C111+C112+C113) / -(C115+C116+C117))</f>
        <v>1.425742387995051</v>
      </c>
      <c r="D132" s="220">
        <f>IF(OR(D116="Choose mgt fee",D116="Choose One!"),"",(D109+D110+D111+D112+D113) / -(D115+D116+D117))</f>
        <v>1.4126822666996779</v>
      </c>
      <c r="E132" s="220">
        <f>IF(OR(E116="Choose mgt fee",E116="Choose One!"),"",(E109+E110+E111+E112+E113) / -(E115+E116+E117))</f>
        <v>1.3997349623198134</v>
      </c>
      <c r="F132" s="497">
        <f>IF(OR(F116="Choose mgt fee",F116="Choose One!"),"",(F109+F110+F111+F112+F113) / -(F115+F116+F117))</f>
        <v>1.3868993380186481</v>
      </c>
      <c r="G132" s="13"/>
      <c r="H132" s="13"/>
      <c r="I132" s="13"/>
      <c r="J132" s="13"/>
      <c r="K132" s="13"/>
      <c r="N132" s="3453"/>
      <c r="O132" s="3455"/>
      <c r="Z132" s="1630" t="s">
        <v>4362</v>
      </c>
      <c r="AA132" s="1632">
        <v>132</v>
      </c>
    </row>
    <row r="133" spans="1:27" ht="13.35" customHeight="1">
      <c r="A133" s="340" t="s">
        <v>2399</v>
      </c>
      <c r="B133" s="177">
        <f>IF('Part II-Sources of Funds'!$I$40="","",-FV('Part II-Sources of Funds'!$K$40/12,12,B120/12,K103))</f>
        <v>2666076.7284720209</v>
      </c>
      <c r="C133" s="177">
        <f>IF('Part II-Sources of Funds'!$I$40="","",-FV('Part II-Sources of Funds'!$K$40/12,12,C120/12,B133))</f>
        <v>2449687.0236315862</v>
      </c>
      <c r="D133" s="177">
        <f>IF('Part II-Sources of Funds'!$I$40="","",-FV('Part II-Sources of Funds'!$K$40/12,12,D120/12,C133))</f>
        <v>2216683.748277578</v>
      </c>
      <c r="E133" s="177">
        <f>IF('Part II-Sources of Funds'!$I$40="","",-FV('Part II-Sources of Funds'!$K$40/12,12,E120/12,D133))</f>
        <v>1965791.376268801</v>
      </c>
      <c r="F133" s="177">
        <f>IF('Part II-Sources of Funds'!$I$40="","",-FV('Part II-Sources of Funds'!$K$40/12,12,F120/12,E133))</f>
        <v>1695636.4514654761</v>
      </c>
      <c r="G133" s="13"/>
      <c r="H133" s="13"/>
      <c r="I133" s="13"/>
      <c r="J133" s="13"/>
      <c r="K133" s="13"/>
      <c r="N133" s="3453"/>
      <c r="O133" s="3455"/>
      <c r="Z133" s="1630" t="s">
        <v>4362</v>
      </c>
      <c r="AA133" s="1632">
        <v>133</v>
      </c>
    </row>
    <row r="134" spans="1:27" ht="13.35" customHeight="1">
      <c r="A134" s="340" t="s">
        <v>2400</v>
      </c>
      <c r="B134" s="178">
        <f>IF('Part II-Sources of Funds'!$I$41="","",-FV('Part II-Sources of Funds'!$K$41/12,12,B121/12,K104))</f>
        <v>0</v>
      </c>
      <c r="C134" s="178">
        <f>IF('Part II-Sources of Funds'!$I$41="","",-FV('Part II-Sources of Funds'!$K$41/12,12,C121/12,B134))</f>
        <v>0</v>
      </c>
      <c r="D134" s="178">
        <f>IF('Part II-Sources of Funds'!$I$41="","",-FV('Part II-Sources of Funds'!$K$41/12,12,D121/12,C134))</f>
        <v>0</v>
      </c>
      <c r="E134" s="178">
        <f>IF('Part II-Sources of Funds'!$I$41="","",-FV('Part II-Sources of Funds'!$K$41/12,12,E121/12,D134))</f>
        <v>0</v>
      </c>
      <c r="F134" s="178">
        <f>IF('Part II-Sources of Funds'!$I$41="","",-FV('Part II-Sources of Funds'!$K$41/12,12,F121/12,E134))</f>
        <v>0</v>
      </c>
      <c r="G134" s="13"/>
      <c r="H134" s="13"/>
      <c r="I134" s="13"/>
      <c r="J134" s="13"/>
      <c r="K134" s="13"/>
      <c r="N134" s="3453"/>
      <c r="O134" s="3455"/>
      <c r="Z134" s="1630" t="s">
        <v>4362</v>
      </c>
      <c r="AA134" s="1632">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3"/>
      <c r="O135" s="3455"/>
      <c r="Z135" s="1630" t="s">
        <v>4362</v>
      </c>
      <c r="AA135" s="1632">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6"/>
      <c r="O136" s="3468"/>
      <c r="Z136" s="1630" t="s">
        <v>4362</v>
      </c>
      <c r="AA136" s="1632">
        <v>136</v>
      </c>
    </row>
    <row r="137" spans="1:27" ht="4.3499999999999996" customHeight="1">
      <c r="AA137" s="1632">
        <v>137</v>
      </c>
    </row>
    <row r="138" spans="1:27" ht="12" customHeight="1">
      <c r="A138" s="10" t="s">
        <v>528</v>
      </c>
      <c r="B138" s="10"/>
      <c r="G138" s="10" t="s">
        <v>966</v>
      </c>
      <c r="AA138" s="1632">
        <v>138</v>
      </c>
    </row>
    <row r="139" spans="1:27" ht="12" customHeight="1">
      <c r="B139" s="10"/>
      <c r="AA139" s="1632">
        <v>139</v>
      </c>
    </row>
    <row r="140" spans="1:27" ht="409.5" customHeight="1">
      <c r="A140" s="3048" t="s">
        <v>3002</v>
      </c>
      <c r="B140" s="3578"/>
      <c r="C140" s="3578"/>
      <c r="D140" s="3578"/>
      <c r="E140" s="3578"/>
      <c r="F140" s="3579"/>
      <c r="G140" s="3580"/>
      <c r="H140" s="3581"/>
      <c r="I140" s="3581"/>
      <c r="J140" s="3581"/>
      <c r="K140" s="3582"/>
      <c r="N140" s="3206" t="s">
        <v>2445</v>
      </c>
      <c r="O140" s="3206"/>
      <c r="AA140" s="1632">
        <v>140</v>
      </c>
    </row>
    <row r="141" spans="1:27" ht="11.25" customHeight="1">
      <c r="AA141" s="1632">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1"/>
      <c r="AA145" s="1633"/>
    </row>
    <row r="146" spans="12:27" s="1" customFormat="1" ht="12" customHeight="1">
      <c r="L146" s="6"/>
      <c r="M146" s="6"/>
      <c r="N146" s="6"/>
      <c r="O146" s="6"/>
      <c r="Z146" s="1631"/>
      <c r="AA146" s="1633"/>
    </row>
    <row r="147" spans="12:27" s="1" customFormat="1" ht="12" customHeight="1">
      <c r="L147" s="6"/>
      <c r="M147" s="6"/>
      <c r="N147" s="6"/>
      <c r="O147" s="6"/>
      <c r="Q147" s="6"/>
      <c r="R147" s="6"/>
      <c r="Z147" s="1631"/>
      <c r="AA147" s="1633"/>
    </row>
    <row r="148" spans="12:27" s="1" customFormat="1" ht="12" customHeight="1">
      <c r="L148" s="6"/>
      <c r="M148" s="6"/>
      <c r="N148" s="6"/>
      <c r="O148" s="6"/>
      <c r="S148" s="6"/>
      <c r="Z148" s="1631"/>
      <c r="AA148" s="1633"/>
    </row>
    <row r="149" spans="12:27" ht="12" customHeight="1">
      <c r="Q149" s="1"/>
      <c r="R149" s="1"/>
      <c r="S149" s="1"/>
    </row>
    <row r="150" spans="12:27" s="1" customFormat="1" ht="12" customHeight="1">
      <c r="L150" s="6"/>
      <c r="M150" s="6"/>
      <c r="N150" s="6"/>
      <c r="O150" s="6"/>
      <c r="Q150" s="6"/>
      <c r="R150" s="6"/>
      <c r="Z150" s="1631"/>
      <c r="AA150" s="1633"/>
    </row>
    <row r="151" spans="12:27" s="1" customFormat="1" ht="12" customHeight="1">
      <c r="L151" s="6"/>
      <c r="M151" s="6"/>
      <c r="N151" s="6"/>
      <c r="O151" s="6"/>
      <c r="S151" s="6"/>
      <c r="Z151" s="1631"/>
      <c r="AA151" s="1633"/>
    </row>
    <row r="152" spans="12:27" ht="12" customHeight="1">
      <c r="Q152" s="1"/>
      <c r="R152" s="1"/>
      <c r="S152" s="1"/>
    </row>
    <row r="153" spans="12:27" s="1" customFormat="1" ht="12" customHeight="1">
      <c r="L153" s="6"/>
      <c r="M153" s="6"/>
      <c r="N153" s="6"/>
      <c r="O153" s="6"/>
      <c r="Z153" s="1631"/>
      <c r="AA153" s="1633"/>
    </row>
    <row r="154" spans="12:27" s="1" customFormat="1" ht="12" customHeight="1">
      <c r="L154" s="6"/>
      <c r="M154" s="6"/>
      <c r="N154" s="6"/>
      <c r="O154" s="6"/>
      <c r="Z154" s="1631"/>
      <c r="AA154" s="1633"/>
    </row>
    <row r="155" spans="12:27" s="1" customFormat="1" ht="12" customHeight="1">
      <c r="L155" s="6"/>
      <c r="M155" s="6"/>
      <c r="N155" s="6"/>
      <c r="O155" s="6"/>
      <c r="Z155" s="1631"/>
      <c r="AA155" s="1633"/>
    </row>
    <row r="156" spans="12:27" s="1" customFormat="1" ht="12" customHeight="1">
      <c r="L156" s="6"/>
      <c r="M156" s="6"/>
      <c r="N156" s="6"/>
      <c r="O156" s="6"/>
      <c r="Z156" s="1631"/>
      <c r="AA156" s="1633"/>
    </row>
    <row r="157" spans="12:27" s="1" customFormat="1" ht="12" customHeight="1">
      <c r="L157" s="6"/>
      <c r="M157" s="6"/>
      <c r="N157" s="6"/>
      <c r="O157" s="6"/>
      <c r="Z157" s="1631"/>
      <c r="AA157" s="1633"/>
    </row>
    <row r="158" spans="12:27" s="1" customFormat="1" ht="12" customHeight="1">
      <c r="L158" s="6"/>
      <c r="M158" s="6"/>
      <c r="N158" s="6"/>
      <c r="O158" s="6"/>
      <c r="Q158" s="6"/>
      <c r="R158" s="6"/>
      <c r="Z158" s="1631"/>
      <c r="AA158" s="1633"/>
    </row>
    <row r="159" spans="12:27" s="1" customFormat="1" ht="12" customHeight="1">
      <c r="L159" s="6"/>
      <c r="M159" s="6"/>
      <c r="N159" s="6"/>
      <c r="O159" s="6"/>
      <c r="S159" s="6"/>
      <c r="Z159" s="1631"/>
      <c r="AA159" s="1633"/>
    </row>
    <row r="160" spans="12:27" ht="12" customHeight="1">
      <c r="Q160" s="1"/>
      <c r="R160" s="1"/>
      <c r="S160" s="1"/>
    </row>
    <row r="161" spans="12:27" s="1" customFormat="1" ht="12" customHeight="1">
      <c r="L161" s="6"/>
      <c r="M161" s="6"/>
      <c r="N161" s="6"/>
      <c r="O161" s="6"/>
      <c r="Z161" s="1631"/>
      <c r="AA161" s="1633"/>
    </row>
    <row r="162" spans="12:27" s="1" customFormat="1" ht="12" customHeight="1">
      <c r="L162" s="6"/>
      <c r="M162" s="6"/>
      <c r="N162" s="6"/>
      <c r="O162" s="6"/>
      <c r="Z162" s="1631"/>
      <c r="AA162" s="1633"/>
    </row>
    <row r="163" spans="12:27" s="1" customFormat="1" ht="12" customHeight="1">
      <c r="L163" s="6"/>
      <c r="M163" s="6"/>
      <c r="N163" s="6"/>
      <c r="O163" s="6"/>
      <c r="Z163" s="1631"/>
      <c r="AA163" s="1633"/>
    </row>
    <row r="164" spans="12:27" s="1" customFormat="1" ht="12" customHeight="1">
      <c r="L164" s="6"/>
      <c r="M164" s="6"/>
      <c r="N164" s="6"/>
      <c r="O164" s="6"/>
      <c r="Z164" s="1631"/>
      <c r="AA164" s="1633"/>
    </row>
    <row r="165" spans="12:27" s="1" customFormat="1" ht="12" customHeight="1">
      <c r="L165" s="6"/>
      <c r="M165" s="6"/>
      <c r="N165" s="6"/>
      <c r="O165" s="6"/>
      <c r="Z165" s="1631"/>
      <c r="AA165" s="1633"/>
    </row>
    <row r="166" spans="12:27" s="1" customFormat="1" ht="12" customHeight="1">
      <c r="L166" s="6"/>
      <c r="M166" s="6"/>
      <c r="N166" s="6"/>
      <c r="O166" s="6"/>
      <c r="Z166" s="1631"/>
      <c r="AA166" s="1633"/>
    </row>
    <row r="167" spans="12:27" s="1" customFormat="1" ht="12" customHeight="1">
      <c r="L167" s="6"/>
      <c r="M167" s="6"/>
      <c r="N167" s="6"/>
      <c r="O167" s="6"/>
      <c r="Z167" s="1631"/>
      <c r="AA167" s="1633"/>
    </row>
    <row r="168" spans="12:27" s="1" customFormat="1" ht="12" customHeight="1">
      <c r="L168" s="6"/>
      <c r="M168" s="6"/>
      <c r="N168" s="6"/>
      <c r="O168" s="6"/>
      <c r="Z168" s="1631"/>
      <c r="AA168" s="1633"/>
    </row>
    <row r="169" spans="12:27" s="1" customFormat="1" ht="12" customHeight="1">
      <c r="L169" s="6"/>
      <c r="M169" s="6"/>
      <c r="N169" s="6"/>
      <c r="O169" s="6"/>
      <c r="Z169" s="1631"/>
      <c r="AA169" s="1633"/>
    </row>
    <row r="170" spans="12:27" s="1" customFormat="1" ht="12" customHeight="1">
      <c r="L170" s="6"/>
      <c r="M170" s="6"/>
      <c r="N170" s="6"/>
      <c r="O170" s="6"/>
      <c r="Q170" s="6"/>
      <c r="R170" s="6"/>
      <c r="Z170" s="1631"/>
      <c r="AA170" s="1633"/>
    </row>
    <row r="171" spans="12:27" s="1" customFormat="1" ht="12" customHeight="1">
      <c r="L171" s="6"/>
      <c r="M171" s="6"/>
      <c r="N171" s="6"/>
      <c r="O171" s="6"/>
      <c r="Q171" s="6"/>
      <c r="R171" s="6"/>
      <c r="S171" s="6"/>
      <c r="Z171" s="1631"/>
      <c r="AA171" s="1633"/>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rintOptions horizontalCentered="1"/>
  <pageMargins left="0.25" right="0.25" top="0.75" bottom="0.5" header="0.3" footer="0.3"/>
  <pageSetup scale="89" fitToHeight="0" orientation="landscape" r:id="rId1"/>
  <headerFooter>
    <oddHeader>&amp;LGeorgia Department of Community Affairs&amp;C2024 Funding Application&amp;RHousing Finance and Development Division</oddHeader>
    <oddFooter>&amp;L&amp;G  &amp;F&amp;C&amp;A&amp;R&amp;P of &amp;N</oddFooter>
  </headerFooter>
  <rowBreaks count="3" manualBreakCount="3">
    <brk id="45" max="10" man="1"/>
    <brk id="77" max="10" man="1"/>
    <brk id="107" max="10"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dimension ref="A1:AB568"/>
  <sheetViews>
    <sheetView showGridLines="0" view="pageBreakPreview" zoomScale="60" zoomScaleNormal="100" workbookViewId="0">
      <selection activeCell="O29" sqref="O29:P29"/>
    </sheetView>
  </sheetViews>
  <sheetFormatPr defaultColWidth="9.140625" defaultRowHeight="14.25"/>
  <cols>
    <col min="1" max="1" width="5.85546875" style="1933" customWidth="1"/>
    <col min="2" max="2" width="3.7109375" style="1933" customWidth="1"/>
    <col min="3" max="3" width="2.140625" style="1933" customWidth="1"/>
    <col min="4" max="10" width="8.85546875" style="1933" customWidth="1"/>
    <col min="11" max="11" width="7.5703125" style="1933" customWidth="1"/>
    <col min="12" max="14" width="9.140625" style="1933"/>
    <col min="15" max="16" width="9.42578125" style="1933" customWidth="1"/>
    <col min="17" max="17" width="9.140625" style="1933"/>
    <col min="18" max="26" width="9.140625" style="2052"/>
    <col min="27" max="27" width="9.140625" style="2488"/>
    <col min="28" max="28" width="9.140625" style="2052"/>
    <col min="29" max="16384" width="9.140625" style="1936"/>
  </cols>
  <sheetData>
    <row r="1" spans="1:28" s="1916" customFormat="1" ht="12.75">
      <c r="A1" s="3583" t="str">
        <f>CONCATENATE("PART SEVEN - THRESHOLD CRITERIA","  -  ",'Part I-Project Identification'!$O$7," ",'Part I-Project Identification'!$F$26,", ",'Part I-Project Identification'!F27,", ",'Part I-Project Identification'!J27," County")</f>
        <v>PART SEVEN - THRESHOLD CRITERIA  -  2024-0 Redland Trace, Lawrenceville, Gwinnett County</v>
      </c>
      <c r="B1" s="3583"/>
      <c r="C1" s="3583"/>
      <c r="D1" s="3583"/>
      <c r="E1" s="3583"/>
      <c r="F1" s="3583"/>
      <c r="G1" s="3583"/>
      <c r="H1" s="3583"/>
      <c r="I1" s="3583"/>
      <c r="J1" s="3583"/>
      <c r="K1" s="3583"/>
      <c r="L1" s="3583"/>
      <c r="M1" s="3583"/>
      <c r="N1" s="3583"/>
      <c r="O1" s="3583"/>
      <c r="P1" s="3583"/>
      <c r="Q1" s="3583"/>
      <c r="R1" s="2050"/>
      <c r="S1" s="2050"/>
      <c r="T1" s="2050"/>
      <c r="U1" s="2050"/>
      <c r="V1" s="2050"/>
      <c r="W1" s="2050"/>
      <c r="X1" s="2050"/>
      <c r="Y1" s="2050"/>
      <c r="Z1" s="2050"/>
      <c r="AA1" s="2490">
        <v>1</v>
      </c>
      <c r="AB1" s="2050"/>
    </row>
    <row r="2" spans="1:28" s="1916" customFormat="1" ht="12.75">
      <c r="R2" s="2050"/>
      <c r="S2" s="2050"/>
      <c r="T2" s="2050"/>
      <c r="U2" s="2050"/>
      <c r="V2" s="2050"/>
      <c r="W2" s="2050"/>
      <c r="X2" s="2050"/>
      <c r="Y2" s="2050"/>
      <c r="Z2" s="2050"/>
      <c r="AA2" s="2490">
        <v>2</v>
      </c>
      <c r="AB2" s="2050"/>
    </row>
    <row r="3" spans="1:28" s="1916" customFormat="1" ht="12.75">
      <c r="A3" s="3584"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4"/>
      <c r="C3" s="3584"/>
      <c r="D3" s="3584"/>
      <c r="E3" s="3584"/>
      <c r="F3" s="3584"/>
      <c r="G3" s="3584"/>
      <c r="H3" s="3584"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4"/>
      <c r="J3" s="3584"/>
      <c r="K3" s="3584"/>
      <c r="L3" s="3584"/>
      <c r="M3" s="3584"/>
      <c r="N3" s="3584"/>
      <c r="O3" s="1917"/>
      <c r="P3" s="3585" t="s">
        <v>4653</v>
      </c>
      <c r="Q3" s="3587" t="s">
        <v>4427</v>
      </c>
      <c r="R3" s="2050"/>
      <c r="S3" s="2050"/>
      <c r="T3" s="2050"/>
      <c r="U3" s="2050"/>
      <c r="V3" s="2050"/>
      <c r="W3" s="2050"/>
      <c r="X3" s="2050"/>
      <c r="Y3" s="2050"/>
      <c r="Z3" s="2050"/>
      <c r="AA3" s="2490">
        <v>3</v>
      </c>
      <c r="AB3" s="2050"/>
    </row>
    <row r="4" spans="1:28" s="1916" customFormat="1" ht="12.75">
      <c r="A4" s="1918"/>
      <c r="B4" s="3589"/>
      <c r="C4" s="3589"/>
      <c r="D4" s="3589"/>
      <c r="E4" s="1918"/>
      <c r="F4" s="1918"/>
      <c r="G4" s="1918"/>
      <c r="H4" s="1918"/>
      <c r="I4" s="1917"/>
      <c r="J4" s="1919"/>
      <c r="K4" s="1918"/>
      <c r="L4" s="1918"/>
      <c r="M4" s="1918"/>
      <c r="N4" s="1918"/>
      <c r="O4" s="1917"/>
      <c r="P4" s="3585"/>
      <c r="Q4" s="3587"/>
      <c r="R4" s="2050"/>
      <c r="S4" s="2050"/>
      <c r="T4" s="2050"/>
      <c r="U4" s="2050"/>
      <c r="V4" s="2050"/>
      <c r="W4" s="2050"/>
      <c r="X4" s="2050"/>
      <c r="Y4" s="2050"/>
      <c r="Z4" s="2050"/>
      <c r="AA4" s="2490">
        <v>4</v>
      </c>
      <c r="AB4" s="2050"/>
    </row>
    <row r="5" spans="1:28" s="1916" customFormat="1" ht="12.75">
      <c r="A5" s="1917"/>
      <c r="B5" s="1917"/>
      <c r="C5" s="1917"/>
      <c r="D5" s="1917"/>
      <c r="E5" s="3590" t="str">
        <f>'Part I-Project Identification'!$A$6</f>
        <v>2024 May 7</v>
      </c>
      <c r="F5" s="3590"/>
      <c r="G5" s="3590"/>
      <c r="H5" s="3590"/>
      <c r="I5" s="3590"/>
      <c r="J5" s="1919"/>
      <c r="K5" s="1918"/>
      <c r="L5" s="1918"/>
      <c r="M5" s="1918"/>
      <c r="N5" s="1918"/>
      <c r="O5" s="1917"/>
      <c r="P5" s="3586"/>
      <c r="Q5" s="3588"/>
      <c r="R5" s="2050"/>
      <c r="S5" s="2050"/>
      <c r="T5" s="2050"/>
      <c r="U5" s="2050"/>
      <c r="V5" s="2050"/>
      <c r="W5" s="2050"/>
      <c r="X5" s="2050"/>
      <c r="Y5" s="2050"/>
      <c r="Z5" s="2050"/>
      <c r="AA5" s="2490">
        <v>5</v>
      </c>
      <c r="AB5" s="2050"/>
    </row>
    <row r="6" spans="1:28" s="1916" customFormat="1" ht="12.75">
      <c r="A6" s="1917"/>
      <c r="B6" s="1917"/>
      <c r="C6" s="1917"/>
      <c r="D6" s="1917"/>
      <c r="E6" s="1920"/>
      <c r="F6" s="1920"/>
      <c r="G6" s="1920"/>
      <c r="H6" s="1920"/>
      <c r="I6" s="1920"/>
      <c r="J6" s="1919"/>
      <c r="K6" s="1917"/>
      <c r="L6" s="1921"/>
      <c r="M6" s="1919"/>
      <c r="N6" s="1918"/>
      <c r="O6" s="1917"/>
      <c r="P6" s="1922"/>
      <c r="Q6" s="1922"/>
      <c r="R6" s="2050"/>
      <c r="S6" s="2050"/>
      <c r="T6" s="2050"/>
      <c r="U6" s="2050"/>
      <c r="V6" s="2050"/>
      <c r="W6" s="2050"/>
      <c r="X6" s="2050"/>
      <c r="Y6" s="2050"/>
      <c r="Z6" s="2050"/>
      <c r="AA6" s="2490">
        <v>6</v>
      </c>
      <c r="AB6" s="2050"/>
    </row>
    <row r="7" spans="1:28" s="1916" customFormat="1" ht="37.5" customHeight="1">
      <c r="A7" s="3594" t="s">
        <v>4654</v>
      </c>
      <c r="B7" s="3594"/>
      <c r="C7" s="3594"/>
      <c r="D7" s="3594"/>
      <c r="E7" s="3594"/>
      <c r="F7" s="3594"/>
      <c r="G7" s="3594"/>
      <c r="H7" s="3594"/>
      <c r="I7" s="3594"/>
      <c r="J7" s="3594"/>
      <c r="K7" s="3594"/>
      <c r="L7" s="3594"/>
      <c r="M7" s="3594"/>
      <c r="N7" s="3594"/>
      <c r="O7" s="3594"/>
      <c r="P7" s="3594"/>
      <c r="Q7" s="3594"/>
      <c r="R7" s="2050"/>
      <c r="S7" s="2050"/>
      <c r="T7" s="2050"/>
      <c r="U7" s="2050"/>
      <c r="V7" s="2050"/>
      <c r="W7" s="2050"/>
      <c r="X7" s="2050"/>
      <c r="Y7" s="2050"/>
      <c r="Z7" s="2050"/>
      <c r="AA7" s="2490">
        <v>7</v>
      </c>
      <c r="AB7" s="2050"/>
    </row>
    <row r="8" spans="1:28" s="1916" customFormat="1" ht="12.75">
      <c r="A8" s="1917"/>
      <c r="B8" s="1917"/>
      <c r="C8" s="1917"/>
      <c r="D8" s="1917"/>
      <c r="E8" s="1920"/>
      <c r="F8" s="1920"/>
      <c r="G8" s="1920"/>
      <c r="H8" s="1920"/>
      <c r="I8" s="1920"/>
      <c r="J8" s="1919"/>
      <c r="K8" s="1917"/>
      <c r="L8" s="1921"/>
      <c r="M8" s="1919"/>
      <c r="N8" s="1918"/>
      <c r="O8" s="1917"/>
      <c r="P8" s="1922"/>
      <c r="Q8" s="1922"/>
      <c r="R8" s="2050"/>
      <c r="S8" s="2050"/>
      <c r="T8" s="2050"/>
      <c r="U8" s="2050"/>
      <c r="V8" s="2050"/>
      <c r="W8" s="2050"/>
      <c r="X8" s="2050"/>
      <c r="Y8" s="2050"/>
      <c r="Z8" s="2050"/>
      <c r="AA8" s="2490">
        <v>8</v>
      </c>
      <c r="AB8" s="2050"/>
    </row>
    <row r="9" spans="1:28" s="1927" customFormat="1" ht="18" customHeight="1">
      <c r="A9" s="1923" t="s">
        <v>4655</v>
      </c>
      <c r="B9" s="1924"/>
      <c r="C9" s="1924"/>
      <c r="D9" s="1924"/>
      <c r="E9" s="1924"/>
      <c r="F9" s="1924"/>
      <c r="G9" s="1924"/>
      <c r="H9" s="1924"/>
      <c r="I9" s="1925"/>
      <c r="J9" s="1925"/>
      <c r="K9" s="1926"/>
      <c r="L9" s="1926"/>
      <c r="M9" s="1926"/>
      <c r="N9" s="1926"/>
      <c r="O9" s="1926"/>
      <c r="P9" s="3595"/>
      <c r="Q9" s="3596"/>
      <c r="R9" s="2051"/>
      <c r="S9" s="2051"/>
      <c r="T9" s="2051"/>
      <c r="U9" s="2051"/>
      <c r="V9" s="2051"/>
      <c r="W9" s="2051"/>
      <c r="X9" s="2051"/>
      <c r="Y9" s="2051"/>
      <c r="Z9" s="2051"/>
      <c r="AA9" s="2491">
        <v>9</v>
      </c>
      <c r="AB9" s="2051"/>
    </row>
    <row r="10" spans="1:28" s="1927" customFormat="1" ht="15">
      <c r="A10" s="1928" t="s">
        <v>2982</v>
      </c>
      <c r="B10" s="1924"/>
      <c r="C10" s="1924"/>
      <c r="D10" s="1924"/>
      <c r="E10" s="1924"/>
      <c r="F10" s="1924"/>
      <c r="G10" s="1924"/>
      <c r="H10" s="1929"/>
      <c r="I10" s="1930"/>
      <c r="J10" s="1930"/>
      <c r="K10" s="1929"/>
      <c r="L10" s="1929"/>
      <c r="M10" s="1931"/>
      <c r="N10" s="1931"/>
      <c r="O10" s="1924"/>
      <c r="P10" s="1924"/>
      <c r="Q10" s="1924"/>
      <c r="R10" s="2051"/>
      <c r="S10" s="2051"/>
      <c r="T10" s="2051"/>
      <c r="U10" s="2051"/>
      <c r="V10" s="2051"/>
      <c r="W10" s="2051"/>
      <c r="X10" s="2051"/>
      <c r="Y10" s="2051"/>
      <c r="Z10" s="2051"/>
      <c r="AA10" s="2490">
        <v>10</v>
      </c>
      <c r="AB10" s="2051"/>
    </row>
    <row r="11" spans="1:28" s="1927" customFormat="1">
      <c r="A11" s="3597" t="s">
        <v>1327</v>
      </c>
      <c r="B11" s="3598"/>
      <c r="C11" s="3598"/>
      <c r="D11" s="3598"/>
      <c r="E11" s="3598"/>
      <c r="F11" s="3598"/>
      <c r="G11" s="3598"/>
      <c r="H11" s="3598"/>
      <c r="I11" s="3598"/>
      <c r="J11" s="3598"/>
      <c r="K11" s="3598"/>
      <c r="L11" s="3598"/>
      <c r="M11" s="3598"/>
      <c r="N11" s="3598"/>
      <c r="O11" s="3598"/>
      <c r="P11" s="3598"/>
      <c r="Q11" s="3599"/>
      <c r="R11" s="2051"/>
      <c r="S11" s="2051"/>
      <c r="T11" s="2051"/>
      <c r="U11" s="2051"/>
      <c r="V11" s="2051"/>
      <c r="W11" s="2051"/>
      <c r="X11" s="2051"/>
      <c r="Y11" s="2051"/>
      <c r="Z11" s="2051"/>
      <c r="AA11" s="2490">
        <v>11</v>
      </c>
      <c r="AB11" s="2051"/>
    </row>
    <row r="12" spans="1:28" s="1927" customFormat="1">
      <c r="A12" s="3591" t="s">
        <v>218</v>
      </c>
      <c r="B12" s="3592"/>
      <c r="C12" s="3592"/>
      <c r="D12" s="3592"/>
      <c r="E12" s="3592"/>
      <c r="F12" s="3592"/>
      <c r="G12" s="3592"/>
      <c r="H12" s="3592"/>
      <c r="I12" s="3592"/>
      <c r="J12" s="3592"/>
      <c r="K12" s="3592"/>
      <c r="L12" s="3592"/>
      <c r="M12" s="3592"/>
      <c r="N12" s="3592"/>
      <c r="O12" s="3592"/>
      <c r="P12" s="3592"/>
      <c r="Q12" s="3593"/>
      <c r="R12" s="2051"/>
      <c r="S12" s="2051"/>
      <c r="T12" s="2051"/>
      <c r="U12" s="2051"/>
      <c r="V12" s="2051"/>
      <c r="W12" s="2051"/>
      <c r="X12" s="2051"/>
      <c r="Y12" s="2051"/>
      <c r="Z12" s="2051"/>
      <c r="AA12" s="2490">
        <v>12</v>
      </c>
      <c r="AB12" s="2051"/>
    </row>
    <row r="13" spans="1:28" s="1927" customFormat="1">
      <c r="A13" s="3591" t="s">
        <v>1323</v>
      </c>
      <c r="B13" s="3592"/>
      <c r="C13" s="3592"/>
      <c r="D13" s="3592"/>
      <c r="E13" s="3592"/>
      <c r="F13" s="3592"/>
      <c r="G13" s="3592"/>
      <c r="H13" s="3592"/>
      <c r="I13" s="3592"/>
      <c r="J13" s="3592"/>
      <c r="K13" s="3592"/>
      <c r="L13" s="3592"/>
      <c r="M13" s="3592"/>
      <c r="N13" s="3592"/>
      <c r="O13" s="3592"/>
      <c r="P13" s="3592"/>
      <c r="Q13" s="3593"/>
      <c r="R13" s="2051"/>
      <c r="S13" s="2051"/>
      <c r="T13" s="2051"/>
      <c r="U13" s="2051"/>
      <c r="V13" s="2051"/>
      <c r="W13" s="2051"/>
      <c r="X13" s="2051"/>
      <c r="Y13" s="2051"/>
      <c r="Z13" s="2051"/>
      <c r="AA13" s="2490">
        <v>13</v>
      </c>
      <c r="AB13" s="2051"/>
    </row>
    <row r="14" spans="1:28" s="1927" customFormat="1">
      <c r="A14" s="3591" t="s">
        <v>1324</v>
      </c>
      <c r="B14" s="3592"/>
      <c r="C14" s="3592"/>
      <c r="D14" s="3592"/>
      <c r="E14" s="3592"/>
      <c r="F14" s="3592"/>
      <c r="G14" s="3592"/>
      <c r="H14" s="3592"/>
      <c r="I14" s="3592"/>
      <c r="J14" s="3592"/>
      <c r="K14" s="3592"/>
      <c r="L14" s="3592"/>
      <c r="M14" s="3592"/>
      <c r="N14" s="3592"/>
      <c r="O14" s="3592"/>
      <c r="P14" s="3592"/>
      <c r="Q14" s="3593"/>
      <c r="R14" s="2051"/>
      <c r="S14" s="2051"/>
      <c r="T14" s="2051"/>
      <c r="U14" s="2051"/>
      <c r="V14" s="2051"/>
      <c r="W14" s="2051"/>
      <c r="X14" s="2051"/>
      <c r="Y14" s="2051"/>
      <c r="Z14" s="2051"/>
      <c r="AA14" s="2490">
        <v>14</v>
      </c>
      <c r="AB14" s="2051"/>
    </row>
    <row r="15" spans="1:28" s="1927" customFormat="1">
      <c r="A15" s="3591" t="s">
        <v>1325</v>
      </c>
      <c r="B15" s="3592"/>
      <c r="C15" s="3592"/>
      <c r="D15" s="3592"/>
      <c r="E15" s="3592"/>
      <c r="F15" s="3592"/>
      <c r="G15" s="3592"/>
      <c r="H15" s="3592"/>
      <c r="I15" s="3592"/>
      <c r="J15" s="3592"/>
      <c r="K15" s="3592"/>
      <c r="L15" s="3592"/>
      <c r="M15" s="3592"/>
      <c r="N15" s="3592"/>
      <c r="O15" s="3592"/>
      <c r="P15" s="3592"/>
      <c r="Q15" s="3593"/>
      <c r="R15" s="2051"/>
      <c r="S15" s="2051"/>
      <c r="T15" s="2051"/>
      <c r="U15" s="2051"/>
      <c r="V15" s="2051"/>
      <c r="W15" s="2051"/>
      <c r="X15" s="2051"/>
      <c r="Y15" s="2051"/>
      <c r="Z15" s="2051"/>
      <c r="AA15" s="2490">
        <v>15</v>
      </c>
      <c r="AB15" s="2051"/>
    </row>
    <row r="16" spans="1:28" s="1927" customFormat="1">
      <c r="A16" s="3591" t="s">
        <v>1326</v>
      </c>
      <c r="B16" s="3592"/>
      <c r="C16" s="3592"/>
      <c r="D16" s="3592"/>
      <c r="E16" s="3592"/>
      <c r="F16" s="3592"/>
      <c r="G16" s="3592"/>
      <c r="H16" s="3592"/>
      <c r="I16" s="3592"/>
      <c r="J16" s="3592"/>
      <c r="K16" s="3592"/>
      <c r="L16" s="3592"/>
      <c r="M16" s="3592"/>
      <c r="N16" s="3592"/>
      <c r="O16" s="3592"/>
      <c r="P16" s="3592"/>
      <c r="Q16" s="3593"/>
      <c r="R16" s="2051"/>
      <c r="S16" s="2051"/>
      <c r="T16" s="2051"/>
      <c r="U16" s="2051"/>
      <c r="V16" s="2051"/>
      <c r="W16" s="2051"/>
      <c r="X16" s="2051"/>
      <c r="Y16" s="2051"/>
      <c r="Z16" s="2051"/>
      <c r="AA16" s="2490">
        <v>16</v>
      </c>
      <c r="AB16" s="2051"/>
    </row>
    <row r="17" spans="1:28" s="1927" customFormat="1">
      <c r="A17" s="3591" t="s">
        <v>1328</v>
      </c>
      <c r="B17" s="3592"/>
      <c r="C17" s="3592"/>
      <c r="D17" s="3592"/>
      <c r="E17" s="3592"/>
      <c r="F17" s="3592"/>
      <c r="G17" s="3592"/>
      <c r="H17" s="3592"/>
      <c r="I17" s="3592"/>
      <c r="J17" s="3592"/>
      <c r="K17" s="3592"/>
      <c r="L17" s="3592"/>
      <c r="M17" s="3592"/>
      <c r="N17" s="3592"/>
      <c r="O17" s="3592"/>
      <c r="P17" s="3592"/>
      <c r="Q17" s="3593"/>
      <c r="R17" s="2051"/>
      <c r="S17" s="2051"/>
      <c r="T17" s="2051"/>
      <c r="U17" s="2051"/>
      <c r="V17" s="2051"/>
      <c r="W17" s="2051"/>
      <c r="X17" s="2051"/>
      <c r="Y17" s="2051"/>
      <c r="Z17" s="2051"/>
      <c r="AA17" s="2490">
        <v>17</v>
      </c>
      <c r="AB17" s="2051"/>
    </row>
    <row r="18" spans="1:28" s="1927" customFormat="1">
      <c r="A18" s="3591" t="s">
        <v>1867</v>
      </c>
      <c r="B18" s="3592"/>
      <c r="C18" s="3592"/>
      <c r="D18" s="3592"/>
      <c r="E18" s="3592"/>
      <c r="F18" s="3592"/>
      <c r="G18" s="3592"/>
      <c r="H18" s="3592"/>
      <c r="I18" s="3592"/>
      <c r="J18" s="3592"/>
      <c r="K18" s="3592"/>
      <c r="L18" s="3592"/>
      <c r="M18" s="3592"/>
      <c r="N18" s="3592"/>
      <c r="O18" s="3592"/>
      <c r="P18" s="3592"/>
      <c r="Q18" s="3593"/>
      <c r="R18" s="2051"/>
      <c r="S18" s="2051"/>
      <c r="T18" s="2051"/>
      <c r="U18" s="2051"/>
      <c r="V18" s="2051"/>
      <c r="W18" s="2051"/>
      <c r="X18" s="2051"/>
      <c r="Y18" s="2051"/>
      <c r="Z18" s="2051"/>
      <c r="AA18" s="2491">
        <v>18</v>
      </c>
      <c r="AB18" s="2051"/>
    </row>
    <row r="19" spans="1:28" s="1927" customFormat="1">
      <c r="A19" s="3591" t="s">
        <v>1868</v>
      </c>
      <c r="B19" s="3592"/>
      <c r="C19" s="3592"/>
      <c r="D19" s="3592"/>
      <c r="E19" s="3592"/>
      <c r="F19" s="3592"/>
      <c r="G19" s="3592"/>
      <c r="H19" s="3592"/>
      <c r="I19" s="3592"/>
      <c r="J19" s="3592"/>
      <c r="K19" s="3592"/>
      <c r="L19" s="3592"/>
      <c r="M19" s="3592"/>
      <c r="N19" s="3592"/>
      <c r="O19" s="3592"/>
      <c r="P19" s="3592"/>
      <c r="Q19" s="3593"/>
      <c r="R19" s="2051"/>
      <c r="S19" s="2051"/>
      <c r="T19" s="2051"/>
      <c r="U19" s="2051"/>
      <c r="V19" s="2051"/>
      <c r="W19" s="2051"/>
      <c r="X19" s="2051"/>
      <c r="Y19" s="2051"/>
      <c r="Z19" s="2051"/>
      <c r="AA19" s="2490">
        <v>19</v>
      </c>
      <c r="AB19" s="2051"/>
    </row>
    <row r="20" spans="1:28" s="1927" customFormat="1">
      <c r="A20" s="3591" t="s">
        <v>1869</v>
      </c>
      <c r="B20" s="3592"/>
      <c r="C20" s="3592"/>
      <c r="D20" s="3592"/>
      <c r="E20" s="3592"/>
      <c r="F20" s="3592"/>
      <c r="G20" s="3592"/>
      <c r="H20" s="3592"/>
      <c r="I20" s="3592"/>
      <c r="J20" s="3592"/>
      <c r="K20" s="3592"/>
      <c r="L20" s="3592"/>
      <c r="M20" s="3592"/>
      <c r="N20" s="3592"/>
      <c r="O20" s="3592"/>
      <c r="P20" s="3592"/>
      <c r="Q20" s="3593"/>
      <c r="R20" s="2051"/>
      <c r="S20" s="2051"/>
      <c r="T20" s="2051"/>
      <c r="U20" s="2051"/>
      <c r="V20" s="2051"/>
      <c r="W20" s="2051"/>
      <c r="X20" s="2051"/>
      <c r="Y20" s="2051"/>
      <c r="Z20" s="2051"/>
      <c r="AA20" s="2490">
        <v>20</v>
      </c>
      <c r="AB20" s="2051"/>
    </row>
    <row r="21" spans="1:28" s="1927" customFormat="1">
      <c r="A21" s="3591" t="s">
        <v>1870</v>
      </c>
      <c r="B21" s="3592"/>
      <c r="C21" s="3592"/>
      <c r="D21" s="3592"/>
      <c r="E21" s="3592"/>
      <c r="F21" s="3592"/>
      <c r="G21" s="3592"/>
      <c r="H21" s="3592"/>
      <c r="I21" s="3592"/>
      <c r="J21" s="3592"/>
      <c r="K21" s="3592"/>
      <c r="L21" s="3592"/>
      <c r="M21" s="3592"/>
      <c r="N21" s="3592"/>
      <c r="O21" s="3592"/>
      <c r="P21" s="3592"/>
      <c r="Q21" s="3593"/>
      <c r="R21" s="2051"/>
      <c r="S21" s="2051"/>
      <c r="T21" s="2051"/>
      <c r="U21" s="2051"/>
      <c r="V21" s="2051"/>
      <c r="W21" s="2051"/>
      <c r="X21" s="2051"/>
      <c r="Y21" s="2051"/>
      <c r="Z21" s="2051"/>
      <c r="AA21" s="2490">
        <v>21</v>
      </c>
      <c r="AB21" s="2051"/>
    </row>
    <row r="22" spans="1:28" s="1927" customFormat="1">
      <c r="A22" s="3591" t="s">
        <v>1871</v>
      </c>
      <c r="B22" s="3592"/>
      <c r="C22" s="3592"/>
      <c r="D22" s="3592"/>
      <c r="E22" s="3592"/>
      <c r="F22" s="3592"/>
      <c r="G22" s="3592"/>
      <c r="H22" s="3592"/>
      <c r="I22" s="3592"/>
      <c r="J22" s="3592"/>
      <c r="K22" s="3592"/>
      <c r="L22" s="3592"/>
      <c r="M22" s="3592"/>
      <c r="N22" s="3592"/>
      <c r="O22" s="3592"/>
      <c r="P22" s="3592"/>
      <c r="Q22" s="3593"/>
      <c r="R22" s="2051"/>
      <c r="S22" s="2051"/>
      <c r="T22" s="2051"/>
      <c r="U22" s="2051"/>
      <c r="V22" s="2051"/>
      <c r="W22" s="2051"/>
      <c r="X22" s="2051"/>
      <c r="Y22" s="2051"/>
      <c r="Z22" s="2051"/>
      <c r="AA22" s="2490">
        <v>22</v>
      </c>
      <c r="AB22" s="2051"/>
    </row>
    <row r="23" spans="1:28" s="1927" customFormat="1">
      <c r="A23" s="3591" t="s">
        <v>1872</v>
      </c>
      <c r="B23" s="3592"/>
      <c r="C23" s="3592"/>
      <c r="D23" s="3592"/>
      <c r="E23" s="3592"/>
      <c r="F23" s="3592"/>
      <c r="G23" s="3592"/>
      <c r="H23" s="3592"/>
      <c r="I23" s="3592"/>
      <c r="J23" s="3592"/>
      <c r="K23" s="3592"/>
      <c r="L23" s="3592"/>
      <c r="M23" s="3592"/>
      <c r="N23" s="3592"/>
      <c r="O23" s="3592"/>
      <c r="P23" s="3592"/>
      <c r="Q23" s="3593"/>
      <c r="R23" s="2051"/>
      <c r="S23" s="2051"/>
      <c r="T23" s="2051"/>
      <c r="U23" s="2051"/>
      <c r="V23" s="2051"/>
      <c r="W23" s="2051"/>
      <c r="X23" s="2051"/>
      <c r="Y23" s="2051"/>
      <c r="Z23" s="2051"/>
      <c r="AA23" s="2490">
        <v>23</v>
      </c>
      <c r="AB23" s="2051"/>
    </row>
    <row r="24" spans="1:28" s="1927" customFormat="1">
      <c r="A24" s="3591" t="s">
        <v>1873</v>
      </c>
      <c r="B24" s="3592"/>
      <c r="C24" s="3592"/>
      <c r="D24" s="3592"/>
      <c r="E24" s="3592"/>
      <c r="F24" s="3592"/>
      <c r="G24" s="3592"/>
      <c r="H24" s="3592"/>
      <c r="I24" s="3592"/>
      <c r="J24" s="3592"/>
      <c r="K24" s="3592"/>
      <c r="L24" s="3592"/>
      <c r="M24" s="3592"/>
      <c r="N24" s="3592"/>
      <c r="O24" s="3592"/>
      <c r="P24" s="3592"/>
      <c r="Q24" s="3593"/>
      <c r="R24" s="2051"/>
      <c r="S24" s="2051"/>
      <c r="T24" s="2051"/>
      <c r="U24" s="2051"/>
      <c r="V24" s="2051"/>
      <c r="W24" s="2051"/>
      <c r="X24" s="2051"/>
      <c r="Y24" s="2051"/>
      <c r="Z24" s="2051"/>
      <c r="AA24" s="2490">
        <v>24</v>
      </c>
      <c r="AB24" s="2051"/>
    </row>
    <row r="25" spans="1:28" s="1927" customFormat="1">
      <c r="A25" s="3591" t="s">
        <v>1874</v>
      </c>
      <c r="B25" s="3592"/>
      <c r="C25" s="3592"/>
      <c r="D25" s="3592"/>
      <c r="E25" s="3592"/>
      <c r="F25" s="3592"/>
      <c r="G25" s="3592"/>
      <c r="H25" s="3592"/>
      <c r="I25" s="3592"/>
      <c r="J25" s="3592"/>
      <c r="K25" s="3592"/>
      <c r="L25" s="3592"/>
      <c r="M25" s="3592"/>
      <c r="N25" s="3592"/>
      <c r="O25" s="3592"/>
      <c r="P25" s="3592"/>
      <c r="Q25" s="3593"/>
      <c r="R25" s="2051"/>
      <c r="S25" s="2051"/>
      <c r="T25" s="2051"/>
      <c r="U25" s="2051"/>
      <c r="V25" s="2051"/>
      <c r="W25" s="2051"/>
      <c r="X25" s="2051"/>
      <c r="Y25" s="2051"/>
      <c r="Z25" s="2051"/>
      <c r="AA25" s="2490">
        <v>25</v>
      </c>
      <c r="AB25" s="2051"/>
    </row>
    <row r="26" spans="1:28" s="1927" customFormat="1">
      <c r="A26" s="3591" t="s">
        <v>1875</v>
      </c>
      <c r="B26" s="3592"/>
      <c r="C26" s="3592"/>
      <c r="D26" s="3592"/>
      <c r="E26" s="3592"/>
      <c r="F26" s="3592"/>
      <c r="G26" s="3592"/>
      <c r="H26" s="3592"/>
      <c r="I26" s="3592"/>
      <c r="J26" s="3592"/>
      <c r="K26" s="3592"/>
      <c r="L26" s="3592"/>
      <c r="M26" s="3592"/>
      <c r="N26" s="3592"/>
      <c r="O26" s="3592"/>
      <c r="P26" s="3592"/>
      <c r="Q26" s="3593"/>
      <c r="R26" s="2051"/>
      <c r="S26" s="2051"/>
      <c r="T26" s="2051"/>
      <c r="U26" s="2051"/>
      <c r="V26" s="2051"/>
      <c r="W26" s="2051"/>
      <c r="X26" s="2051"/>
      <c r="Y26" s="2051"/>
      <c r="Z26" s="2051"/>
      <c r="AA26" s="2490">
        <v>26</v>
      </c>
      <c r="AB26" s="2051"/>
    </row>
    <row r="27" spans="1:28" s="1927" customFormat="1">
      <c r="A27" s="3591" t="s">
        <v>1876</v>
      </c>
      <c r="B27" s="3592"/>
      <c r="C27" s="3592"/>
      <c r="D27" s="3592"/>
      <c r="E27" s="3592"/>
      <c r="F27" s="3592"/>
      <c r="G27" s="3592"/>
      <c r="H27" s="3592"/>
      <c r="I27" s="3592"/>
      <c r="J27" s="3592"/>
      <c r="K27" s="3592"/>
      <c r="L27" s="3592"/>
      <c r="M27" s="3592"/>
      <c r="N27" s="3592"/>
      <c r="O27" s="3592"/>
      <c r="P27" s="3592"/>
      <c r="Q27" s="3593"/>
      <c r="R27" s="2051"/>
      <c r="S27" s="2051"/>
      <c r="T27" s="2051"/>
      <c r="U27" s="2051"/>
      <c r="V27" s="2051"/>
      <c r="W27" s="2051"/>
      <c r="X27" s="2051"/>
      <c r="Y27" s="2051"/>
      <c r="Z27" s="2051"/>
      <c r="AA27" s="2491">
        <v>27</v>
      </c>
      <c r="AB27" s="2051"/>
    </row>
    <row r="28" spans="1:28" s="1927" customFormat="1">
      <c r="A28" s="3600" t="s">
        <v>1877</v>
      </c>
      <c r="B28" s="3601"/>
      <c r="C28" s="3601"/>
      <c r="D28" s="3601"/>
      <c r="E28" s="3601"/>
      <c r="F28" s="3601"/>
      <c r="G28" s="3601"/>
      <c r="H28" s="3601"/>
      <c r="I28" s="3601"/>
      <c r="J28" s="3601"/>
      <c r="K28" s="3601"/>
      <c r="L28" s="3601"/>
      <c r="M28" s="3601"/>
      <c r="N28" s="3601"/>
      <c r="O28" s="3601"/>
      <c r="P28" s="3601"/>
      <c r="Q28" s="3602"/>
      <c r="R28" s="2051"/>
      <c r="S28" s="2051"/>
      <c r="T28" s="2051"/>
      <c r="U28" s="2051"/>
      <c r="V28" s="2051"/>
      <c r="W28" s="2051"/>
      <c r="X28" s="2051"/>
      <c r="Y28" s="2051"/>
      <c r="Z28" s="2051"/>
      <c r="AA28" s="2490">
        <v>28</v>
      </c>
      <c r="AB28" s="2051"/>
    </row>
    <row r="29" spans="1:28" s="1927" customFormat="1">
      <c r="A29" s="1924"/>
      <c r="B29" s="1924"/>
      <c r="C29" s="1924"/>
      <c r="D29" s="1924"/>
      <c r="E29" s="1924"/>
      <c r="F29" s="1924"/>
      <c r="G29" s="1924"/>
      <c r="H29" s="1924"/>
      <c r="I29" s="1924"/>
      <c r="J29" s="1924"/>
      <c r="K29" s="1924"/>
      <c r="L29" s="1924"/>
      <c r="M29" s="1924"/>
      <c r="N29" s="1924"/>
      <c r="O29" s="1924"/>
      <c r="P29" s="1924"/>
      <c r="Q29" s="1924"/>
      <c r="R29" s="2051"/>
      <c r="S29" s="2051"/>
      <c r="T29" s="2051"/>
      <c r="U29" s="2051"/>
      <c r="V29" s="2051"/>
      <c r="W29" s="2051"/>
      <c r="X29" s="2051"/>
      <c r="Y29" s="2051"/>
      <c r="Z29" s="2051"/>
      <c r="AA29" s="2490">
        <v>29</v>
      </c>
      <c r="AB29" s="2051"/>
    </row>
    <row r="30" spans="1:28" s="1927" customFormat="1" ht="18" customHeight="1">
      <c r="A30" s="1924"/>
      <c r="B30" s="1924"/>
      <c r="C30" s="1924"/>
      <c r="D30" s="1924"/>
      <c r="E30" s="1924"/>
      <c r="F30" s="1924"/>
      <c r="G30" s="1924"/>
      <c r="H30" s="1924"/>
      <c r="I30" s="1924"/>
      <c r="J30" s="1924"/>
      <c r="K30" s="1924"/>
      <c r="L30" s="1924"/>
      <c r="M30" s="1924"/>
      <c r="N30" s="1924"/>
      <c r="O30" s="1924"/>
      <c r="P30" s="1924"/>
      <c r="Q30" s="1924"/>
      <c r="R30" s="2051"/>
      <c r="S30" s="2051"/>
      <c r="T30" s="2051"/>
      <c r="U30" s="2051"/>
      <c r="V30" s="2051"/>
      <c r="W30" s="2051"/>
      <c r="X30" s="2051"/>
      <c r="Y30" s="2051"/>
      <c r="Z30" s="2051"/>
      <c r="AA30" s="2490">
        <v>30</v>
      </c>
      <c r="AB30" s="2051"/>
    </row>
    <row r="31" spans="1:28" ht="20.25" customHeight="1">
      <c r="A31" s="1940" t="s">
        <v>572</v>
      </c>
      <c r="B31" s="1932" t="s">
        <v>4529</v>
      </c>
      <c r="C31" s="1932"/>
      <c r="D31" s="1932"/>
      <c r="E31" s="1932"/>
      <c r="F31" s="1932"/>
      <c r="G31" s="1932"/>
      <c r="I31" s="1934"/>
      <c r="J31" s="1934"/>
      <c r="K31" s="1934"/>
      <c r="L31" s="1931"/>
      <c r="M31" s="1931"/>
      <c r="O31" s="1935" t="s">
        <v>1726</v>
      </c>
      <c r="P31" s="3603"/>
      <c r="Q31" s="3604"/>
      <c r="AA31" s="2490">
        <v>31</v>
      </c>
    </row>
    <row r="32" spans="1:28" ht="15" customHeight="1">
      <c r="B32" s="1937" t="s">
        <v>4656</v>
      </c>
      <c r="C32" s="1937"/>
      <c r="D32" s="1937"/>
      <c r="E32" s="1937"/>
      <c r="F32" s="1937"/>
      <c r="G32" s="1934"/>
      <c r="H32" s="1934"/>
      <c r="I32" s="1934"/>
      <c r="J32" s="1934"/>
      <c r="K32" s="1931"/>
      <c r="L32" s="1931"/>
      <c r="M32" s="1931"/>
      <c r="N32" s="1931"/>
      <c r="O32" s="1931"/>
      <c r="P32" s="1931"/>
      <c r="AA32" s="2490">
        <v>32</v>
      </c>
    </row>
    <row r="33" spans="1:27" ht="20.25" customHeight="1">
      <c r="A33" s="3605"/>
      <c r="B33" s="3605"/>
      <c r="C33" s="3605"/>
      <c r="D33" s="3605"/>
      <c r="E33" s="3605"/>
      <c r="F33" s="3605"/>
      <c r="G33" s="3605"/>
      <c r="H33" s="3605"/>
      <c r="I33" s="3605"/>
      <c r="J33" s="3605"/>
      <c r="K33" s="3605"/>
      <c r="L33" s="3605"/>
      <c r="M33" s="3605"/>
      <c r="N33" s="3605"/>
      <c r="O33" s="3605"/>
      <c r="P33" s="3605"/>
      <c r="Q33" s="3606"/>
      <c r="AA33" s="2490">
        <v>33</v>
      </c>
    </row>
    <row r="34" spans="1:27" ht="15" customHeight="1">
      <c r="B34" s="1937" t="s">
        <v>1725</v>
      </c>
      <c r="C34" s="1938"/>
      <c r="D34" s="1939"/>
      <c r="E34" s="1939"/>
      <c r="F34" s="1939"/>
      <c r="G34" s="1939"/>
      <c r="H34" s="1939"/>
      <c r="I34" s="1939"/>
      <c r="J34" s="1939"/>
      <c r="K34" s="1939"/>
      <c r="L34" s="1939"/>
      <c r="M34" s="1939"/>
      <c r="N34" s="1939"/>
      <c r="O34" s="1939"/>
      <c r="P34" s="1939"/>
      <c r="AA34" s="2490">
        <v>34</v>
      </c>
    </row>
    <row r="35" spans="1:27" ht="20.25" customHeight="1">
      <c r="A35" s="3607"/>
      <c r="B35" s="3607"/>
      <c r="C35" s="3607"/>
      <c r="D35" s="3607"/>
      <c r="E35" s="3607"/>
      <c r="F35" s="3607"/>
      <c r="G35" s="3607"/>
      <c r="H35" s="3607"/>
      <c r="I35" s="3607"/>
      <c r="J35" s="3607"/>
      <c r="K35" s="3607"/>
      <c r="L35" s="3607"/>
      <c r="M35" s="3607"/>
      <c r="N35" s="3607"/>
      <c r="O35" s="3607"/>
      <c r="P35" s="3607"/>
      <c r="Q35" s="3607"/>
      <c r="AA35" s="2490">
        <v>35</v>
      </c>
    </row>
    <row r="36" spans="1:27" ht="11.25" customHeight="1">
      <c r="B36" s="1934"/>
      <c r="C36" s="1939"/>
      <c r="D36" s="1939"/>
      <c r="E36" s="1939"/>
      <c r="F36" s="1939"/>
      <c r="G36" s="1939"/>
      <c r="H36" s="1939"/>
      <c r="I36" s="1939"/>
      <c r="J36" s="1939"/>
      <c r="K36" s="1939"/>
      <c r="L36" s="1939"/>
      <c r="M36" s="1939"/>
      <c r="N36" s="1939"/>
      <c r="O36" s="1939"/>
      <c r="P36" s="1939"/>
      <c r="Q36" s="1931"/>
      <c r="AA36" s="2491">
        <v>36</v>
      </c>
    </row>
    <row r="37" spans="1:27" ht="11.25" customHeight="1">
      <c r="B37" s="1934"/>
      <c r="C37" s="1939"/>
      <c r="D37" s="1939"/>
      <c r="E37" s="1939"/>
      <c r="F37" s="1939"/>
      <c r="G37" s="1939"/>
      <c r="H37" s="1939"/>
      <c r="I37" s="1939"/>
      <c r="J37" s="1939"/>
      <c r="K37" s="1939"/>
      <c r="L37" s="1939"/>
      <c r="M37" s="1939"/>
      <c r="N37" s="1939"/>
      <c r="O37" s="1939"/>
      <c r="P37" s="1939"/>
      <c r="Q37" s="1931"/>
      <c r="AA37" s="2490">
        <v>37</v>
      </c>
    </row>
    <row r="38" spans="1:27" ht="20.25" customHeight="1">
      <c r="A38" s="1940" t="s">
        <v>688</v>
      </c>
      <c r="B38" s="1932" t="s">
        <v>1117</v>
      </c>
      <c r="C38" s="1932"/>
      <c r="D38" s="1932"/>
      <c r="E38" s="1939"/>
      <c r="F38" s="1939"/>
      <c r="G38" s="1941"/>
      <c r="O38" s="1935" t="s">
        <v>1726</v>
      </c>
      <c r="P38" s="3608"/>
      <c r="Q38" s="3609"/>
      <c r="AA38" s="2490">
        <v>38</v>
      </c>
    </row>
    <row r="39" spans="1:27" ht="18.75" customHeight="1">
      <c r="A39" s="1940"/>
      <c r="B39" s="3621" t="s">
        <v>4657</v>
      </c>
      <c r="C39" s="3621"/>
      <c r="D39" s="3621"/>
      <c r="E39" s="3621"/>
      <c r="F39" s="3621"/>
      <c r="G39" s="3621"/>
      <c r="H39" s="3621"/>
      <c r="I39" s="3621"/>
      <c r="J39" s="3621"/>
      <c r="K39" s="3621"/>
      <c r="L39" s="3621"/>
      <c r="M39" s="3621"/>
      <c r="N39" s="3621"/>
      <c r="O39" s="3621"/>
      <c r="P39" s="3622"/>
      <c r="Q39" s="3623"/>
      <c r="AA39" s="2490">
        <v>39</v>
      </c>
    </row>
    <row r="40" spans="1:27" ht="15" customHeight="1">
      <c r="B40" s="1943" t="s">
        <v>3157</v>
      </c>
      <c r="D40" s="1943"/>
      <c r="E40" s="1943"/>
      <c r="F40" s="1943"/>
      <c r="G40" s="1943"/>
      <c r="H40" s="1941"/>
      <c r="I40" s="1934"/>
      <c r="J40" s="1934"/>
      <c r="AA40" s="2490">
        <v>40</v>
      </c>
    </row>
    <row r="41" spans="1:27" ht="20.25" customHeight="1">
      <c r="A41" s="3624"/>
      <c r="B41" s="3625"/>
      <c r="C41" s="3625"/>
      <c r="D41" s="3625"/>
      <c r="E41" s="3625"/>
      <c r="F41" s="3625"/>
      <c r="G41" s="3625"/>
      <c r="H41" s="3625"/>
      <c r="I41" s="3625"/>
      <c r="J41" s="3625"/>
      <c r="K41" s="3625"/>
      <c r="L41" s="3625"/>
      <c r="M41" s="3625"/>
      <c r="N41" s="3625"/>
      <c r="O41" s="3625"/>
      <c r="P41" s="3625"/>
      <c r="Q41" s="3626"/>
      <c r="AA41" s="2490">
        <v>41</v>
      </c>
    </row>
    <row r="42" spans="1:27" ht="15" customHeight="1">
      <c r="A42" s="1931"/>
      <c r="B42" s="1937" t="s">
        <v>1725</v>
      </c>
      <c r="C42" s="1931"/>
      <c r="D42" s="1931"/>
      <c r="E42" s="1931"/>
      <c r="F42" s="1931"/>
      <c r="G42" s="1931"/>
      <c r="H42" s="1931"/>
      <c r="I42" s="1939"/>
      <c r="J42" s="1939"/>
      <c r="K42" s="1939"/>
      <c r="L42" s="1939"/>
      <c r="M42" s="1939"/>
      <c r="N42" s="1939"/>
      <c r="O42" s="1939"/>
      <c r="P42" s="1939"/>
      <c r="Q42" s="1931"/>
      <c r="AA42" s="2490">
        <v>42</v>
      </c>
    </row>
    <row r="43" spans="1:27" ht="20.25" customHeight="1">
      <c r="A43" s="3607"/>
      <c r="B43" s="3607"/>
      <c r="C43" s="3607"/>
      <c r="D43" s="3607"/>
      <c r="E43" s="3607"/>
      <c r="F43" s="3607"/>
      <c r="G43" s="3607"/>
      <c r="H43" s="3607"/>
      <c r="I43" s="3607"/>
      <c r="J43" s="3607"/>
      <c r="K43" s="3607"/>
      <c r="L43" s="3607"/>
      <c r="M43" s="3607"/>
      <c r="N43" s="3607"/>
      <c r="O43" s="3607"/>
      <c r="P43" s="3607"/>
      <c r="Q43" s="3607"/>
      <c r="AA43" s="2490">
        <v>43</v>
      </c>
    </row>
    <row r="44" spans="1:27" ht="11.25" customHeight="1">
      <c r="A44" s="1931"/>
      <c r="B44" s="1939"/>
      <c r="C44" s="1939"/>
      <c r="D44" s="1939"/>
      <c r="E44" s="1939"/>
      <c r="F44" s="1939"/>
      <c r="G44" s="1939"/>
      <c r="H44" s="1939"/>
      <c r="I44" s="1939"/>
      <c r="J44" s="1939"/>
      <c r="K44" s="1939"/>
      <c r="L44" s="1939"/>
      <c r="M44" s="1939"/>
      <c r="N44" s="1939"/>
      <c r="O44" s="1939"/>
      <c r="P44" s="1939"/>
      <c r="Q44" s="1931"/>
      <c r="AA44" s="2490">
        <v>44</v>
      </c>
    </row>
    <row r="45" spans="1:27" ht="11.25" customHeight="1">
      <c r="A45" s="1936"/>
      <c r="B45" s="1934"/>
      <c r="C45" s="1939"/>
      <c r="D45" s="1939"/>
      <c r="E45" s="1939"/>
      <c r="F45" s="1939"/>
      <c r="G45" s="1939"/>
      <c r="H45" s="1939"/>
      <c r="I45" s="1939"/>
      <c r="J45" s="1939"/>
      <c r="K45" s="1939"/>
      <c r="L45" s="1939"/>
      <c r="M45" s="1939"/>
      <c r="N45" s="1939"/>
      <c r="O45" s="1939"/>
      <c r="P45" s="1939"/>
      <c r="Q45" s="1931"/>
      <c r="AA45" s="2491">
        <v>45</v>
      </c>
    </row>
    <row r="46" spans="1:27" ht="20.25" customHeight="1">
      <c r="A46" s="1940" t="s">
        <v>690</v>
      </c>
      <c r="B46" s="1940" t="s">
        <v>4794</v>
      </c>
      <c r="C46" s="1940"/>
      <c r="D46" s="1939"/>
      <c r="E46" s="1939"/>
      <c r="F46" s="1939"/>
      <c r="G46" s="1939"/>
      <c r="H46" s="1939"/>
      <c r="I46" s="1939"/>
      <c r="J46" s="1939"/>
      <c r="L46" s="1944"/>
      <c r="M46" s="1945"/>
      <c r="O46" s="1935" t="s">
        <v>1726</v>
      </c>
      <c r="P46" s="3608"/>
      <c r="Q46" s="3612"/>
      <c r="AA46" s="2490">
        <v>46</v>
      </c>
    </row>
    <row r="47" spans="1:27" ht="20.25" customHeight="1">
      <c r="A47" s="1946"/>
      <c r="B47" s="1941" t="s">
        <v>5016</v>
      </c>
      <c r="C47" s="1940"/>
      <c r="D47" s="1939"/>
      <c r="E47" s="1939"/>
      <c r="F47" s="1939"/>
      <c r="G47" s="1939"/>
      <c r="H47" s="1939"/>
      <c r="I47" s="1939"/>
      <c r="J47" s="1939"/>
      <c r="L47" s="1944"/>
      <c r="M47" s="1945"/>
      <c r="O47" s="1935"/>
      <c r="P47" s="3622"/>
      <c r="Q47" s="3623"/>
      <c r="AA47" s="2490">
        <v>47</v>
      </c>
    </row>
    <row r="48" spans="1:27" ht="15" customHeight="1">
      <c r="B48" s="1943" t="s">
        <v>3157</v>
      </c>
      <c r="D48" s="1943"/>
      <c r="E48" s="1943"/>
      <c r="F48" s="1943"/>
      <c r="G48" s="1943"/>
      <c r="H48" s="1941"/>
      <c r="I48" s="1934"/>
      <c r="J48" s="1934"/>
      <c r="K48" s="1937" t="s">
        <v>1725</v>
      </c>
      <c r="L48" s="1931"/>
      <c r="M48" s="1931"/>
      <c r="N48" s="1931"/>
      <c r="O48" s="1931"/>
      <c r="P48" s="1931"/>
      <c r="Q48" s="1931"/>
      <c r="AA48" s="2490">
        <v>48</v>
      </c>
    </row>
    <row r="49" spans="1:27" ht="20.25" customHeight="1">
      <c r="A49" s="3605"/>
      <c r="B49" s="3605"/>
      <c r="C49" s="3605"/>
      <c r="D49" s="3605"/>
      <c r="E49" s="3605"/>
      <c r="F49" s="3605"/>
      <c r="G49" s="3605"/>
      <c r="H49" s="3605"/>
      <c r="I49" s="3605"/>
      <c r="J49" s="3605"/>
      <c r="K49" s="3610"/>
      <c r="L49" s="3610"/>
      <c r="M49" s="3610"/>
      <c r="N49" s="3610"/>
      <c r="O49" s="3610"/>
      <c r="P49" s="3610"/>
      <c r="Q49" s="3611"/>
      <c r="AA49" s="2490">
        <v>49</v>
      </c>
    </row>
    <row r="50" spans="1:27" ht="11.25" customHeight="1">
      <c r="A50" s="1931"/>
      <c r="B50" s="1934"/>
      <c r="C50" s="1939"/>
      <c r="D50" s="1939"/>
      <c r="E50" s="1939"/>
      <c r="F50" s="1939"/>
      <c r="G50" s="1939"/>
      <c r="H50" s="1939"/>
      <c r="I50" s="1939"/>
      <c r="J50" s="1939"/>
      <c r="K50" s="1939"/>
      <c r="L50" s="1939"/>
      <c r="M50" s="1939"/>
      <c r="N50" s="1939"/>
      <c r="O50" s="1939"/>
      <c r="P50" s="1939"/>
      <c r="Q50" s="1931"/>
      <c r="AA50" s="2490">
        <v>50</v>
      </c>
    </row>
    <row r="51" spans="1:27" ht="11.25" customHeight="1">
      <c r="A51" s="1940"/>
      <c r="B51" s="1934"/>
      <c r="C51" s="1939"/>
      <c r="D51" s="1939"/>
      <c r="E51" s="1939"/>
      <c r="F51" s="1939"/>
      <c r="G51" s="1939"/>
      <c r="H51" s="1939"/>
      <c r="I51" s="1939"/>
      <c r="J51" s="1939"/>
      <c r="K51" s="1939"/>
      <c r="L51" s="1939"/>
      <c r="M51" s="1939"/>
      <c r="N51" s="1939"/>
      <c r="O51" s="1939"/>
      <c r="P51" s="1939"/>
      <c r="Q51" s="1931"/>
      <c r="AA51" s="2490">
        <v>51</v>
      </c>
    </row>
    <row r="52" spans="1:27" ht="20.25" customHeight="1">
      <c r="A52" s="1940" t="s">
        <v>1661</v>
      </c>
      <c r="B52" s="1940" t="s">
        <v>3891</v>
      </c>
      <c r="C52" s="1940"/>
      <c r="D52" s="1939"/>
      <c r="E52" s="1939"/>
      <c r="F52" s="1939"/>
      <c r="G52" s="1939"/>
      <c r="H52" s="1947"/>
      <c r="J52" s="1946"/>
      <c r="K52" s="1925"/>
      <c r="L52" s="1946"/>
      <c r="M52" s="1948"/>
      <c r="O52" s="1935" t="s">
        <v>1726</v>
      </c>
      <c r="P52" s="3608"/>
      <c r="Q52" s="3612"/>
      <c r="AA52" s="2490">
        <v>52</v>
      </c>
    </row>
    <row r="53" spans="1:27" ht="27.95" customHeight="1">
      <c r="A53" s="1946"/>
      <c r="B53" s="3613" t="s">
        <v>2258</v>
      </c>
      <c r="C53" s="3613"/>
      <c r="D53" s="3613"/>
      <c r="E53" s="3613"/>
      <c r="F53" s="3613"/>
      <c r="G53" s="3613"/>
      <c r="H53" s="3614"/>
      <c r="I53" s="3615"/>
      <c r="J53" s="3616"/>
      <c r="K53" s="3616"/>
      <c r="L53" s="3616"/>
      <c r="M53" s="3616"/>
      <c r="N53" s="3616"/>
      <c r="O53" s="3616"/>
      <c r="P53" s="3616"/>
      <c r="Q53" s="3617"/>
      <c r="AA53" s="2490">
        <v>53</v>
      </c>
    </row>
    <row r="54" spans="1:27" ht="15.95" customHeight="1">
      <c r="A54" s="1946"/>
      <c r="B54" s="1933" t="s">
        <v>4658</v>
      </c>
      <c r="D54" s="1949"/>
      <c r="E54" s="1949"/>
      <c r="F54" s="1949"/>
      <c r="I54" s="3618"/>
      <c r="J54" s="3619"/>
      <c r="K54" s="3620"/>
      <c r="L54" s="1942"/>
      <c r="M54" s="1950"/>
      <c r="N54" s="1950"/>
      <c r="O54" s="1950"/>
      <c r="P54" s="1950"/>
      <c r="Q54" s="1931"/>
      <c r="AA54" s="2491">
        <v>54</v>
      </c>
    </row>
    <row r="55" spans="1:27" ht="15.95" customHeight="1">
      <c r="A55" s="1946"/>
      <c r="B55" s="1933" t="s">
        <v>4659</v>
      </c>
      <c r="D55" s="1949"/>
      <c r="E55" s="1949"/>
      <c r="F55" s="1949"/>
      <c r="H55" s="1942" t="s">
        <v>4660</v>
      </c>
      <c r="I55" s="3618"/>
      <c r="J55" s="3619"/>
      <c r="K55" s="3620"/>
      <c r="L55" s="1951"/>
      <c r="M55" s="1952" t="s">
        <v>4661</v>
      </c>
      <c r="N55" s="3618"/>
      <c r="O55" s="3620"/>
      <c r="P55" s="1936"/>
      <c r="Q55" s="1936"/>
      <c r="AA55" s="2490">
        <v>55</v>
      </c>
    </row>
    <row r="56" spans="1:27" ht="15" customHeight="1">
      <c r="B56" s="1953" t="s">
        <v>3157</v>
      </c>
      <c r="D56" s="1953"/>
      <c r="E56" s="1953"/>
      <c r="F56" s="1953"/>
      <c r="G56" s="1953"/>
      <c r="H56" s="1941"/>
      <c r="I56" s="1934"/>
      <c r="J56" s="1934"/>
      <c r="K56" s="1934"/>
      <c r="L56" s="1931"/>
      <c r="M56" s="1931"/>
      <c r="N56" s="1931"/>
      <c r="O56" s="1931"/>
      <c r="P56" s="1931"/>
      <c r="Q56" s="1931"/>
      <c r="AA56" s="2490">
        <v>56</v>
      </c>
    </row>
    <row r="57" spans="1:27" ht="20.25" customHeight="1">
      <c r="A57" s="3605"/>
      <c r="B57" s="3605"/>
      <c r="C57" s="3605"/>
      <c r="D57" s="3605"/>
      <c r="E57" s="3605"/>
      <c r="F57" s="3605"/>
      <c r="G57" s="3605"/>
      <c r="H57" s="3605"/>
      <c r="I57" s="3605"/>
      <c r="J57" s="3605"/>
      <c r="K57" s="3605"/>
      <c r="L57" s="3605"/>
      <c r="M57" s="3605"/>
      <c r="N57" s="3605"/>
      <c r="O57" s="3605"/>
      <c r="P57" s="3605"/>
      <c r="Q57" s="3606"/>
      <c r="AA57" s="2490">
        <v>57</v>
      </c>
    </row>
    <row r="58" spans="1:27" ht="15" customHeight="1">
      <c r="B58" s="1937" t="s">
        <v>1725</v>
      </c>
      <c r="C58" s="1938"/>
      <c r="D58" s="1939"/>
      <c r="E58" s="1939"/>
      <c r="F58" s="1939"/>
      <c r="G58" s="1939"/>
      <c r="H58" s="1939"/>
      <c r="I58" s="1939"/>
      <c r="J58" s="1939"/>
      <c r="K58" s="1939"/>
      <c r="L58" s="1939"/>
      <c r="M58" s="1939"/>
      <c r="N58" s="1939"/>
      <c r="O58" s="1939"/>
      <c r="P58" s="1939"/>
      <c r="Q58" s="1939"/>
      <c r="AA58" s="2490">
        <v>58</v>
      </c>
    </row>
    <row r="59" spans="1:27" ht="20.25" customHeight="1">
      <c r="A59" s="3610"/>
      <c r="B59" s="3610"/>
      <c r="C59" s="3610"/>
      <c r="D59" s="3610"/>
      <c r="E59" s="3610"/>
      <c r="F59" s="3610"/>
      <c r="G59" s="3610"/>
      <c r="H59" s="3610"/>
      <c r="I59" s="3610"/>
      <c r="J59" s="3610"/>
      <c r="K59" s="3610"/>
      <c r="L59" s="3610"/>
      <c r="M59" s="3610"/>
      <c r="N59" s="3610"/>
      <c r="O59" s="3610"/>
      <c r="P59" s="3610"/>
      <c r="Q59" s="3611"/>
      <c r="AA59" s="2490">
        <v>59</v>
      </c>
    </row>
    <row r="60" spans="1:27" ht="11.25" customHeight="1">
      <c r="A60" s="1939"/>
      <c r="B60" s="1939"/>
      <c r="C60" s="1939"/>
      <c r="D60" s="1939"/>
      <c r="E60" s="1939"/>
      <c r="F60" s="1939"/>
      <c r="G60" s="1939"/>
      <c r="H60" s="1939"/>
      <c r="I60" s="1939"/>
      <c r="J60" s="1939"/>
      <c r="K60" s="1939"/>
      <c r="L60" s="1939"/>
      <c r="M60" s="1939"/>
      <c r="N60" s="1939"/>
      <c r="O60" s="1939"/>
      <c r="P60" s="1939"/>
      <c r="Q60" s="1939"/>
      <c r="AA60" s="2490">
        <v>60</v>
      </c>
    </row>
    <row r="61" spans="1:27" ht="11.25" customHeight="1">
      <c r="A61" s="1940"/>
      <c r="B61" s="1939"/>
      <c r="C61" s="1939"/>
      <c r="D61" s="1939"/>
      <c r="E61" s="1939"/>
      <c r="F61" s="1939"/>
      <c r="G61" s="1939"/>
      <c r="H61" s="1939"/>
      <c r="I61" s="1939"/>
      <c r="J61" s="1939"/>
      <c r="K61" s="1939"/>
      <c r="L61" s="1939"/>
      <c r="M61" s="1939"/>
      <c r="N61" s="1939"/>
      <c r="O61" s="1939"/>
      <c r="P61" s="1939"/>
      <c r="Q61" s="1939"/>
      <c r="AA61" s="2490">
        <v>61</v>
      </c>
    </row>
    <row r="62" spans="1:27" ht="20.25" customHeight="1">
      <c r="A62" s="1940" t="s">
        <v>1663</v>
      </c>
      <c r="B62" s="1940" t="s">
        <v>2416</v>
      </c>
      <c r="C62" s="1940"/>
      <c r="D62" s="1939"/>
      <c r="E62" s="1939"/>
      <c r="F62" s="1939"/>
      <c r="G62" s="1939"/>
      <c r="H62" s="1939"/>
      <c r="I62" s="1939"/>
      <c r="J62" s="1939"/>
      <c r="K62" s="1939"/>
      <c r="L62" s="1939"/>
      <c r="M62" s="1939"/>
      <c r="O62" s="1935" t="s">
        <v>1726</v>
      </c>
      <c r="P62" s="3636"/>
      <c r="Q62" s="3637"/>
      <c r="AA62" s="2490">
        <v>62</v>
      </c>
    </row>
    <row r="63" spans="1:27" ht="15.95" customHeight="1">
      <c r="A63" s="1946"/>
      <c r="B63" s="1933" t="s">
        <v>4662</v>
      </c>
      <c r="I63" s="1955"/>
      <c r="J63" s="3618"/>
      <c r="K63" s="3618"/>
      <c r="L63" s="3618"/>
      <c r="M63" s="3618"/>
      <c r="N63" s="3618"/>
      <c r="O63" s="3618"/>
      <c r="P63" s="3618"/>
      <c r="Q63" s="3638"/>
      <c r="AA63" s="2491">
        <v>63</v>
      </c>
    </row>
    <row r="64" spans="1:27" ht="15.95" customHeight="1">
      <c r="A64" s="1946"/>
      <c r="B64" s="1933" t="s">
        <v>3824</v>
      </c>
      <c r="O64" s="1942"/>
      <c r="P64" s="1961"/>
      <c r="Q64" s="1954"/>
      <c r="AA64" s="2490">
        <v>64</v>
      </c>
    </row>
    <row r="65" spans="1:28" ht="31.5" customHeight="1">
      <c r="B65" s="1940"/>
      <c r="C65" s="3613" t="s">
        <v>4796</v>
      </c>
      <c r="D65" s="3613"/>
      <c r="E65" s="3613"/>
      <c r="F65" s="3613"/>
      <c r="G65" s="3613"/>
      <c r="H65" s="3613"/>
      <c r="I65" s="3613"/>
      <c r="J65" s="3613"/>
      <c r="K65" s="3613"/>
      <c r="L65" s="3613"/>
      <c r="M65" s="3613"/>
      <c r="N65" s="3613"/>
      <c r="O65" s="3613"/>
      <c r="P65" s="2057"/>
      <c r="Q65" s="2082"/>
      <c r="AA65" s="2490">
        <v>65</v>
      </c>
    </row>
    <row r="66" spans="1:28" ht="15" customHeight="1">
      <c r="B66" s="1953" t="s">
        <v>4656</v>
      </c>
      <c r="D66" s="1953"/>
      <c r="E66" s="1953"/>
      <c r="F66" s="1953"/>
      <c r="G66" s="1953"/>
      <c r="H66" s="1941"/>
      <c r="I66" s="1934"/>
      <c r="J66" s="1934"/>
      <c r="K66" s="1934"/>
      <c r="L66" s="1931"/>
      <c r="M66" s="1931"/>
      <c r="N66" s="1931"/>
      <c r="O66" s="1931"/>
      <c r="P66" s="1931"/>
      <c r="Q66" s="1931"/>
      <c r="AA66" s="2490">
        <v>66</v>
      </c>
    </row>
    <row r="67" spans="1:28" ht="20.25" customHeight="1">
      <c r="A67" s="3624"/>
      <c r="B67" s="3627"/>
      <c r="C67" s="3627"/>
      <c r="D67" s="3627"/>
      <c r="E67" s="3627"/>
      <c r="F67" s="3627"/>
      <c r="G67" s="3627"/>
      <c r="H67" s="3627"/>
      <c r="I67" s="3627"/>
      <c r="J67" s="3627"/>
      <c r="K67" s="3627"/>
      <c r="L67" s="3627"/>
      <c r="M67" s="3627"/>
      <c r="N67" s="3627"/>
      <c r="O67" s="3627"/>
      <c r="P67" s="3627"/>
      <c r="Q67" s="3628"/>
      <c r="AA67" s="2490">
        <v>67</v>
      </c>
    </row>
    <row r="68" spans="1:28" ht="15" customHeight="1">
      <c r="B68" s="1937" t="s">
        <v>1725</v>
      </c>
      <c r="C68" s="1938"/>
      <c r="D68" s="1939"/>
      <c r="E68" s="1939"/>
      <c r="F68" s="1939"/>
      <c r="G68" s="1939"/>
      <c r="H68" s="1939"/>
      <c r="I68" s="1939"/>
      <c r="J68" s="1939"/>
      <c r="K68" s="1939"/>
      <c r="L68" s="1939"/>
      <c r="M68" s="1939"/>
      <c r="N68" s="1939"/>
      <c r="O68" s="1939"/>
      <c r="P68" s="1939"/>
      <c r="Q68" s="1939"/>
      <c r="AA68" s="2490">
        <v>68</v>
      </c>
    </row>
    <row r="69" spans="1:28" ht="20.25" customHeight="1">
      <c r="A69" s="3629"/>
      <c r="B69" s="3630"/>
      <c r="C69" s="3630"/>
      <c r="D69" s="3630"/>
      <c r="E69" s="3630"/>
      <c r="F69" s="3630"/>
      <c r="G69" s="3630"/>
      <c r="H69" s="3630"/>
      <c r="I69" s="3630"/>
      <c r="J69" s="3630"/>
      <c r="K69" s="3630"/>
      <c r="L69" s="3630"/>
      <c r="M69" s="3630"/>
      <c r="N69" s="3630"/>
      <c r="O69" s="3630"/>
      <c r="P69" s="3630"/>
      <c r="Q69" s="3631"/>
      <c r="AA69" s="2490">
        <v>69</v>
      </c>
    </row>
    <row r="70" spans="1:28" ht="11.25" customHeight="1">
      <c r="AA70" s="2490">
        <v>70</v>
      </c>
    </row>
    <row r="71" spans="1:28" ht="11.25" customHeight="1">
      <c r="A71" s="1936"/>
      <c r="AA71" s="2490">
        <v>71</v>
      </c>
    </row>
    <row r="72" spans="1:28" ht="20.25" customHeight="1">
      <c r="A72" s="1940" t="s">
        <v>495</v>
      </c>
      <c r="B72" s="1940" t="s">
        <v>2417</v>
      </c>
      <c r="C72" s="1941"/>
      <c r="D72" s="1939"/>
      <c r="E72" s="1939"/>
      <c r="F72" s="1939"/>
      <c r="G72" s="1939"/>
      <c r="H72" s="1939"/>
      <c r="I72" s="1939"/>
      <c r="J72" s="1939"/>
      <c r="K72" s="1939"/>
      <c r="L72" s="1939"/>
      <c r="M72" s="1939"/>
      <c r="N72" s="1960"/>
      <c r="O72" s="1935" t="s">
        <v>1726</v>
      </c>
      <c r="P72" s="3608"/>
      <c r="Q72" s="3612"/>
      <c r="AA72" s="2491">
        <v>72</v>
      </c>
    </row>
    <row r="73" spans="1:28" ht="32.25" customHeight="1">
      <c r="A73" s="1946"/>
      <c r="B73" s="3613" t="s">
        <v>5000</v>
      </c>
      <c r="C73" s="3613"/>
      <c r="D73" s="3613"/>
      <c r="E73" s="3613"/>
      <c r="F73" s="3613"/>
      <c r="G73" s="3613"/>
      <c r="H73" s="3613"/>
      <c r="I73" s="3613"/>
      <c r="J73" s="3613"/>
      <c r="K73" s="3614"/>
      <c r="L73" s="3632"/>
      <c r="M73" s="3633"/>
      <c r="N73" s="3633"/>
      <c r="O73" s="3633"/>
      <c r="P73" s="3634"/>
      <c r="Q73" s="3635"/>
      <c r="AA73" s="2490">
        <v>73</v>
      </c>
    </row>
    <row r="74" spans="1:28" ht="16.5" customHeight="1">
      <c r="B74" s="1933" t="s">
        <v>4663</v>
      </c>
      <c r="C74" s="1936"/>
      <c r="O74" s="1942"/>
      <c r="P74" s="1961"/>
      <c r="Q74" s="1954"/>
      <c r="AA74" s="2490">
        <v>74</v>
      </c>
    </row>
    <row r="75" spans="1:28" ht="16.5" customHeight="1">
      <c r="A75" s="1946"/>
      <c r="B75" s="1933" t="s">
        <v>4527</v>
      </c>
      <c r="D75" s="1949"/>
      <c r="E75" s="1949"/>
      <c r="F75" s="1949"/>
      <c r="G75" s="1949"/>
      <c r="H75" s="1949"/>
      <c r="K75" s="1949"/>
      <c r="L75" s="1939"/>
      <c r="O75" s="1942"/>
      <c r="P75" s="1958"/>
      <c r="Q75" s="1959"/>
      <c r="AA75" s="2490">
        <v>75</v>
      </c>
    </row>
    <row r="76" spans="1:28" ht="15" customHeight="1">
      <c r="A76" s="1946"/>
      <c r="B76" s="1933" t="s">
        <v>4664</v>
      </c>
      <c r="D76" s="1949"/>
      <c r="E76" s="1949"/>
      <c r="F76" s="1949"/>
      <c r="G76" s="1949"/>
      <c r="H76" s="1949"/>
      <c r="K76" s="1949"/>
      <c r="L76" s="1939"/>
      <c r="M76" s="1939"/>
      <c r="N76" s="1939"/>
      <c r="O76" s="1942"/>
      <c r="AA76" s="2490">
        <v>76</v>
      </c>
    </row>
    <row r="77" spans="1:28" ht="16.5" customHeight="1">
      <c r="A77" s="1946"/>
      <c r="B77" s="1940"/>
      <c r="C77" s="1933" t="s">
        <v>4665</v>
      </c>
      <c r="E77" s="1949"/>
      <c r="F77" s="1949"/>
      <c r="G77" s="1949"/>
      <c r="H77" s="1949"/>
      <c r="K77" s="1949"/>
      <c r="L77" s="1939"/>
      <c r="M77" s="1939"/>
      <c r="O77" s="1942"/>
      <c r="P77" s="1961"/>
      <c r="Q77" s="1954"/>
      <c r="AA77" s="2490">
        <v>77</v>
      </c>
    </row>
    <row r="78" spans="1:28" ht="16.5" customHeight="1">
      <c r="A78" s="1946"/>
      <c r="B78" s="1940"/>
      <c r="C78" s="1933" t="s">
        <v>4666</v>
      </c>
      <c r="E78" s="1949"/>
      <c r="F78" s="1949"/>
      <c r="G78" s="1949"/>
      <c r="K78" s="1949"/>
      <c r="L78" s="1939"/>
      <c r="M78" s="1939"/>
      <c r="O78" s="1942"/>
      <c r="P78" s="1956"/>
      <c r="Q78" s="1957"/>
      <c r="AA78" s="2490">
        <v>78</v>
      </c>
    </row>
    <row r="79" spans="1:28" s="1972" customFormat="1" ht="16.5" customHeight="1">
      <c r="A79" s="1962"/>
      <c r="B79" s="1963"/>
      <c r="C79" s="1963"/>
      <c r="D79" s="1928" t="s">
        <v>4667</v>
      </c>
      <c r="E79" s="1964"/>
      <c r="F79" s="1964"/>
      <c r="G79" s="1928"/>
      <c r="H79" s="1928"/>
      <c r="I79" s="1965"/>
      <c r="J79" s="1966"/>
      <c r="K79" s="1967"/>
      <c r="L79" s="1968"/>
      <c r="M79" s="1968"/>
      <c r="N79" s="1966"/>
      <c r="O79" s="1969"/>
      <c r="P79" s="1970"/>
      <c r="Q79" s="1971"/>
      <c r="R79" s="2053"/>
      <c r="S79" s="2053"/>
      <c r="T79" s="2053"/>
      <c r="U79" s="2053"/>
      <c r="V79" s="2053"/>
      <c r="W79" s="2053"/>
      <c r="X79" s="2053"/>
      <c r="Y79" s="2053"/>
      <c r="Z79" s="2053"/>
      <c r="AA79" s="2490">
        <v>79</v>
      </c>
      <c r="AB79" s="2053"/>
    </row>
    <row r="80" spans="1:28" ht="16.5" customHeight="1">
      <c r="A80" s="1946"/>
      <c r="B80" s="1940"/>
      <c r="C80" s="1933" t="s">
        <v>4668</v>
      </c>
      <c r="E80" s="1949"/>
      <c r="F80" s="1949"/>
      <c r="G80" s="1949"/>
      <c r="K80" s="1949"/>
      <c r="L80" s="1939"/>
      <c r="M80" s="1939"/>
      <c r="O80" s="1942"/>
      <c r="P80" s="1958"/>
      <c r="Q80" s="1959"/>
      <c r="AA80" s="2490">
        <v>80</v>
      </c>
    </row>
    <row r="81" spans="1:27" ht="32.25" customHeight="1">
      <c r="A81" s="1946"/>
      <c r="B81" s="3640" t="s">
        <v>4822</v>
      </c>
      <c r="C81" s="3640"/>
      <c r="D81" s="3640"/>
      <c r="E81" s="3640"/>
      <c r="F81" s="3640"/>
      <c r="G81" s="3640"/>
      <c r="H81" s="3640"/>
      <c r="I81" s="3640"/>
      <c r="J81" s="3640"/>
      <c r="K81" s="3640"/>
      <c r="L81" s="3640"/>
      <c r="M81" s="3640"/>
      <c r="N81" s="3640"/>
      <c r="O81" s="3640"/>
      <c r="P81" s="3640"/>
      <c r="Q81" s="3640"/>
      <c r="AA81" s="2491">
        <v>81</v>
      </c>
    </row>
    <row r="82" spans="1:27" ht="20.25" customHeight="1">
      <c r="B82" s="3618"/>
      <c r="C82" s="3618"/>
      <c r="D82" s="3618"/>
      <c r="E82" s="3618"/>
      <c r="F82" s="3618"/>
      <c r="G82" s="3618"/>
      <c r="H82" s="3618"/>
      <c r="I82" s="3618"/>
      <c r="J82" s="3618"/>
      <c r="K82" s="3618"/>
      <c r="L82" s="3618"/>
      <c r="M82" s="3618"/>
      <c r="N82" s="3618"/>
      <c r="O82" s="3618"/>
      <c r="P82" s="3618"/>
      <c r="Q82" s="3638"/>
      <c r="AA82" s="2490">
        <v>82</v>
      </c>
    </row>
    <row r="83" spans="1:27" ht="15" customHeight="1">
      <c r="B83" s="1953" t="s">
        <v>3157</v>
      </c>
      <c r="D83" s="1953"/>
      <c r="E83" s="1953"/>
      <c r="F83" s="1953"/>
      <c r="G83" s="1953"/>
      <c r="H83" s="1941"/>
      <c r="I83" s="1934"/>
      <c r="J83" s="1934"/>
      <c r="K83" s="1934"/>
      <c r="L83" s="1931"/>
      <c r="M83" s="1931"/>
      <c r="N83" s="1931"/>
      <c r="O83" s="1931"/>
      <c r="P83" s="1931"/>
      <c r="Q83" s="1931"/>
      <c r="AA83" s="2490">
        <v>83</v>
      </c>
    </row>
    <row r="84" spans="1:27" ht="20.25" customHeight="1">
      <c r="A84" s="3605"/>
      <c r="B84" s="3605"/>
      <c r="C84" s="3605"/>
      <c r="D84" s="3605"/>
      <c r="E84" s="3605"/>
      <c r="F84" s="3605"/>
      <c r="G84" s="3605"/>
      <c r="H84" s="3605"/>
      <c r="I84" s="3605"/>
      <c r="J84" s="3605"/>
      <c r="K84" s="3605"/>
      <c r="L84" s="3605"/>
      <c r="M84" s="3605"/>
      <c r="N84" s="3605"/>
      <c r="O84" s="3605"/>
      <c r="P84" s="3605"/>
      <c r="Q84" s="3606"/>
      <c r="AA84" s="2490">
        <v>84</v>
      </c>
    </row>
    <row r="85" spans="1:27" ht="15" customHeight="1">
      <c r="B85" s="1937" t="s">
        <v>1725</v>
      </c>
      <c r="C85" s="1938"/>
      <c r="D85" s="1939"/>
      <c r="E85" s="1939"/>
      <c r="F85" s="1939"/>
      <c r="G85" s="1939"/>
      <c r="H85" s="1939"/>
      <c r="I85" s="1939"/>
      <c r="J85" s="1939"/>
      <c r="K85" s="1939"/>
      <c r="L85" s="1939"/>
      <c r="M85" s="1939"/>
      <c r="N85" s="1939"/>
      <c r="O85" s="1939"/>
      <c r="P85" s="1939"/>
      <c r="Q85" s="1939"/>
      <c r="AA85" s="2490">
        <v>85</v>
      </c>
    </row>
    <row r="86" spans="1:27" ht="20.25" customHeight="1">
      <c r="A86" s="3610"/>
      <c r="B86" s="3610"/>
      <c r="C86" s="3610"/>
      <c r="D86" s="3610"/>
      <c r="E86" s="3610"/>
      <c r="F86" s="3610"/>
      <c r="G86" s="3610"/>
      <c r="H86" s="3610"/>
      <c r="I86" s="3610"/>
      <c r="J86" s="3610"/>
      <c r="K86" s="3610"/>
      <c r="L86" s="3610"/>
      <c r="M86" s="3610"/>
      <c r="N86" s="3610"/>
      <c r="O86" s="3610"/>
      <c r="P86" s="3610"/>
      <c r="Q86" s="3611"/>
      <c r="AA86" s="2490">
        <v>86</v>
      </c>
    </row>
    <row r="87" spans="1:27" ht="11.25" customHeight="1">
      <c r="A87" s="1931"/>
      <c r="B87" s="1934"/>
      <c r="C87" s="1939"/>
      <c r="D87" s="1939"/>
      <c r="E87" s="1939"/>
      <c r="F87" s="1939"/>
      <c r="G87" s="1939"/>
      <c r="H87" s="1939"/>
      <c r="I87" s="1939"/>
      <c r="J87" s="1939"/>
      <c r="K87" s="1939"/>
      <c r="L87" s="1939"/>
      <c r="M87" s="1939"/>
      <c r="N87" s="1939"/>
      <c r="O87" s="1939"/>
      <c r="P87" s="1939"/>
      <c r="Q87" s="1931"/>
      <c r="AA87" s="2490">
        <v>87</v>
      </c>
    </row>
    <row r="88" spans="1:27" ht="11.25" customHeight="1">
      <c r="A88" s="1936"/>
      <c r="B88" s="1934"/>
      <c r="C88" s="1939"/>
      <c r="D88" s="1939"/>
      <c r="E88" s="1939"/>
      <c r="F88" s="1939"/>
      <c r="G88" s="1939"/>
      <c r="H88" s="1939"/>
      <c r="I88" s="1939"/>
      <c r="J88" s="1939"/>
      <c r="K88" s="1939"/>
      <c r="L88" s="1939"/>
      <c r="M88" s="1939"/>
      <c r="N88" s="1939"/>
      <c r="O88" s="1939"/>
      <c r="P88" s="1939"/>
      <c r="Q88" s="1931"/>
      <c r="AA88" s="2490">
        <v>88</v>
      </c>
    </row>
    <row r="89" spans="1:27" ht="15.6" customHeight="1">
      <c r="A89" s="1940" t="s">
        <v>719</v>
      </c>
      <c r="B89" s="1940" t="s">
        <v>2418</v>
      </c>
      <c r="C89" s="1940"/>
      <c r="D89" s="1939"/>
      <c r="E89" s="1939"/>
      <c r="F89" s="1939"/>
      <c r="G89" s="1939"/>
      <c r="H89" s="1939"/>
      <c r="I89" s="1939"/>
      <c r="J89" s="1939"/>
      <c r="K89" s="1939"/>
      <c r="N89" s="1960"/>
      <c r="O89" s="1935" t="s">
        <v>1726</v>
      </c>
      <c r="P89" s="3608"/>
      <c r="Q89" s="3612"/>
      <c r="AA89" s="2490">
        <v>89</v>
      </c>
    </row>
    <row r="90" spans="1:27" ht="14.1" customHeight="1">
      <c r="A90" s="1946"/>
      <c r="B90" s="1933" t="s">
        <v>143</v>
      </c>
      <c r="F90" s="1992" t="str">
        <f>IF(L90="Ground lease/Option","Ground lease/Option:","")</f>
        <v/>
      </c>
      <c r="H90" s="1994" t="str">
        <f>IF(L90="Ground lease/Option","Annual Pymt:","")</f>
        <v/>
      </c>
      <c r="I90" s="1995" t="str">
        <f>IF(M130="Ground lease/Option",'Part V-Revenues &amp; Expenses'!$K$255,"")</f>
        <v/>
      </c>
      <c r="J90" s="1993" t="str">
        <f>IF(L90="Ground lease/Option","Term (yrs):","")</f>
        <v/>
      </c>
      <c r="K90" s="2049" t="str">
        <f>IF(M130="Ground lease/Option",'Part V-Revenues &amp; Expenses'!$N$255,"")</f>
        <v/>
      </c>
      <c r="L90" s="3641" t="s">
        <v>1641</v>
      </c>
      <c r="M90" s="3642"/>
      <c r="N90" s="3643"/>
      <c r="O90" s="3608" t="s">
        <v>1641</v>
      </c>
      <c r="P90" s="3644"/>
      <c r="Q90" s="3645"/>
      <c r="AA90" s="2491">
        <v>90</v>
      </c>
    </row>
    <row r="91" spans="1:27" ht="14.1" customHeight="1">
      <c r="A91" s="1946"/>
      <c r="B91" s="1933" t="s">
        <v>635</v>
      </c>
      <c r="G91" s="3618"/>
      <c r="H91" s="3618"/>
      <c r="I91" s="3618"/>
      <c r="J91" s="3618"/>
      <c r="K91" s="3618"/>
      <c r="L91" s="3618"/>
      <c r="M91" s="3618"/>
      <c r="N91" s="3618"/>
      <c r="O91" s="3618"/>
      <c r="P91" s="3618"/>
      <c r="Q91" s="3638"/>
      <c r="AA91" s="2490">
        <v>91</v>
      </c>
    </row>
    <row r="92" spans="1:27" ht="15" customHeight="1">
      <c r="B92" s="1953" t="s">
        <v>3157</v>
      </c>
      <c r="D92" s="1953"/>
      <c r="E92" s="1953"/>
      <c r="F92" s="1953"/>
      <c r="G92" s="1953"/>
      <c r="H92" s="1941"/>
      <c r="I92" s="1934"/>
      <c r="J92" s="1934"/>
      <c r="K92" s="1934"/>
      <c r="L92" s="1931"/>
      <c r="M92" s="1931"/>
      <c r="N92" s="1931"/>
      <c r="O92" s="1931"/>
      <c r="P92" s="1931"/>
      <c r="Q92" s="1931"/>
      <c r="AA92" s="2490">
        <v>92</v>
      </c>
    </row>
    <row r="93" spans="1:27" ht="18.600000000000001" customHeight="1">
      <c r="A93" s="3605"/>
      <c r="B93" s="3605"/>
      <c r="C93" s="3605"/>
      <c r="D93" s="3605"/>
      <c r="E93" s="3605"/>
      <c r="F93" s="3605"/>
      <c r="G93" s="3605"/>
      <c r="H93" s="3605"/>
      <c r="I93" s="3605"/>
      <c r="J93" s="3605"/>
      <c r="K93" s="3605"/>
      <c r="L93" s="3605"/>
      <c r="M93" s="3605"/>
      <c r="N93" s="3605"/>
      <c r="O93" s="3605"/>
      <c r="P93" s="3605"/>
      <c r="Q93" s="3639"/>
      <c r="AA93" s="2490">
        <v>93</v>
      </c>
    </row>
    <row r="94" spans="1:27" ht="15" customHeight="1">
      <c r="B94" s="1937" t="s">
        <v>1725</v>
      </c>
      <c r="C94" s="1938"/>
      <c r="D94" s="1939"/>
      <c r="E94" s="1939"/>
      <c r="F94" s="1939"/>
      <c r="G94" s="1939"/>
      <c r="H94" s="1939"/>
      <c r="I94" s="1939"/>
      <c r="J94" s="1939"/>
      <c r="K94" s="1939"/>
      <c r="L94" s="1939"/>
      <c r="M94" s="1939"/>
      <c r="N94" s="1939"/>
      <c r="O94" s="1939"/>
      <c r="P94" s="1939"/>
      <c r="Q94" s="1939"/>
      <c r="AA94" s="2490">
        <v>94</v>
      </c>
    </row>
    <row r="95" spans="1:27" ht="18.600000000000001" customHeight="1">
      <c r="A95" s="3610"/>
      <c r="B95" s="3610"/>
      <c r="C95" s="3610"/>
      <c r="D95" s="3610"/>
      <c r="E95" s="3610"/>
      <c r="F95" s="3610"/>
      <c r="G95" s="3610"/>
      <c r="H95" s="3610"/>
      <c r="I95" s="3610"/>
      <c r="J95" s="3610"/>
      <c r="K95" s="3610"/>
      <c r="L95" s="3610"/>
      <c r="M95" s="3610"/>
      <c r="N95" s="3610"/>
      <c r="O95" s="3610"/>
      <c r="P95" s="3610"/>
      <c r="Q95" s="3607"/>
      <c r="AA95" s="2490">
        <v>95</v>
      </c>
    </row>
    <row r="96" spans="1:27" ht="11.25" customHeight="1">
      <c r="A96" s="1931"/>
      <c r="B96" s="1934"/>
      <c r="C96" s="1939"/>
      <c r="D96" s="1939"/>
      <c r="E96" s="1939"/>
      <c r="F96" s="1939"/>
      <c r="G96" s="1939"/>
      <c r="H96" s="1939"/>
      <c r="I96" s="1939"/>
      <c r="J96" s="1939"/>
      <c r="K96" s="1939"/>
      <c r="L96" s="1939"/>
      <c r="M96" s="1939"/>
      <c r="Q96" s="1931"/>
      <c r="AA96" s="2490">
        <v>96</v>
      </c>
    </row>
    <row r="97" spans="1:27" ht="11.25" customHeight="1">
      <c r="A97" s="1936"/>
      <c r="B97" s="1934"/>
      <c r="C97" s="1939"/>
      <c r="D97" s="1939"/>
      <c r="E97" s="1939"/>
      <c r="F97" s="1939"/>
      <c r="G97" s="1939"/>
      <c r="H97" s="1939"/>
      <c r="I97" s="1939"/>
      <c r="J97" s="1939"/>
      <c r="K97" s="1939"/>
      <c r="L97" s="1939"/>
      <c r="M97" s="1939"/>
      <c r="Q97" s="1931"/>
      <c r="AA97" s="2490">
        <v>97</v>
      </c>
    </row>
    <row r="98" spans="1:27" ht="15.6" customHeight="1">
      <c r="A98" s="1940" t="s">
        <v>280</v>
      </c>
      <c r="B98" s="1940" t="s">
        <v>2419</v>
      </c>
      <c r="C98" s="1940"/>
      <c r="D98" s="1939"/>
      <c r="E98" s="1939"/>
      <c r="F98" s="1939"/>
      <c r="G98" s="1939"/>
      <c r="H98" s="1939"/>
      <c r="I98" s="1939"/>
      <c r="J98" s="1939"/>
      <c r="K98" s="1939"/>
      <c r="L98" s="1939"/>
      <c r="M98" s="1939"/>
      <c r="O98" s="1935" t="s">
        <v>1726</v>
      </c>
      <c r="P98" s="3608"/>
      <c r="Q98" s="3612"/>
      <c r="AA98" s="2490">
        <v>98</v>
      </c>
    </row>
    <row r="99" spans="1:27" ht="15" customHeight="1">
      <c r="B99" s="1953" t="s">
        <v>3157</v>
      </c>
      <c r="D99" s="1953"/>
      <c r="E99" s="1953"/>
      <c r="F99" s="1953"/>
      <c r="G99" s="1953"/>
      <c r="H99" s="1941"/>
      <c r="I99" s="1934"/>
      <c r="J99" s="1934"/>
      <c r="K99" s="1934"/>
      <c r="L99" s="1931"/>
      <c r="M99" s="1931"/>
      <c r="N99" s="1931"/>
      <c r="O99" s="1931"/>
      <c r="P99" s="1931"/>
      <c r="Q99" s="1931"/>
      <c r="AA99" s="2491">
        <v>99</v>
      </c>
    </row>
    <row r="100" spans="1:27" ht="18.600000000000001" customHeight="1">
      <c r="A100" s="3605"/>
      <c r="B100" s="3605"/>
      <c r="C100" s="3605"/>
      <c r="D100" s="3605"/>
      <c r="E100" s="3605"/>
      <c r="F100" s="3605"/>
      <c r="G100" s="3605"/>
      <c r="H100" s="3605"/>
      <c r="I100" s="3605"/>
      <c r="J100" s="3605"/>
      <c r="K100" s="3605"/>
      <c r="L100" s="3605"/>
      <c r="M100" s="3605"/>
      <c r="N100" s="3605"/>
      <c r="O100" s="3605"/>
      <c r="P100" s="3605"/>
      <c r="Q100" s="3639"/>
      <c r="AA100" s="2490">
        <v>100</v>
      </c>
    </row>
    <row r="101" spans="1:27" ht="15" customHeight="1">
      <c r="B101" s="1937" t="s">
        <v>1725</v>
      </c>
      <c r="C101" s="1938"/>
      <c r="D101" s="1939"/>
      <c r="E101" s="1939"/>
      <c r="F101" s="1939"/>
      <c r="G101" s="1939"/>
      <c r="H101" s="1939"/>
      <c r="I101" s="1939"/>
      <c r="J101" s="1939"/>
      <c r="K101" s="1939"/>
      <c r="L101" s="1939"/>
      <c r="M101" s="1939"/>
      <c r="N101" s="1939"/>
      <c r="O101" s="1939"/>
      <c r="P101" s="1939"/>
      <c r="Q101" s="1939"/>
      <c r="AA101" s="2490">
        <v>101</v>
      </c>
    </row>
    <row r="102" spans="1:27" ht="18.600000000000001" customHeight="1">
      <c r="A102" s="3610"/>
      <c r="B102" s="3610"/>
      <c r="C102" s="3610"/>
      <c r="D102" s="3610"/>
      <c r="E102" s="3610"/>
      <c r="F102" s="3610"/>
      <c r="G102" s="3610"/>
      <c r="H102" s="3610"/>
      <c r="I102" s="3610"/>
      <c r="J102" s="3610"/>
      <c r="K102" s="3610"/>
      <c r="L102" s="3610"/>
      <c r="M102" s="3610"/>
      <c r="N102" s="3610"/>
      <c r="O102" s="3610"/>
      <c r="P102" s="3610"/>
      <c r="Q102" s="3607"/>
      <c r="AA102" s="2490">
        <v>102</v>
      </c>
    </row>
    <row r="103" spans="1:27" ht="11.25" customHeight="1">
      <c r="B103" s="1934"/>
      <c r="C103" s="1939"/>
      <c r="D103" s="1939"/>
      <c r="E103" s="1939"/>
      <c r="F103" s="1939"/>
      <c r="G103" s="1939"/>
      <c r="H103" s="1939"/>
      <c r="I103" s="1939"/>
      <c r="J103" s="1939"/>
      <c r="K103" s="1939"/>
      <c r="L103" s="1939"/>
      <c r="M103" s="1939"/>
      <c r="N103" s="1939"/>
      <c r="O103" s="1939"/>
      <c r="P103" s="1939"/>
      <c r="Q103" s="1931"/>
      <c r="AA103" s="2490">
        <v>103</v>
      </c>
    </row>
    <row r="104" spans="1:27" ht="11.25" customHeight="1">
      <c r="A104" s="1936"/>
      <c r="B104" s="1934"/>
      <c r="C104" s="1939"/>
      <c r="D104" s="1939"/>
      <c r="E104" s="1939"/>
      <c r="F104" s="1939"/>
      <c r="G104" s="1939"/>
      <c r="H104" s="1939"/>
      <c r="I104" s="1939"/>
      <c r="J104" s="1939"/>
      <c r="K104" s="1939"/>
      <c r="L104" s="1939"/>
      <c r="M104" s="1939"/>
      <c r="N104" s="1939"/>
      <c r="O104" s="1939"/>
      <c r="P104" s="1939"/>
      <c r="Q104" s="1931"/>
      <c r="AA104" s="2490">
        <v>104</v>
      </c>
    </row>
    <row r="105" spans="1:27" ht="15.6" customHeight="1">
      <c r="A105" s="1940" t="s">
        <v>400</v>
      </c>
      <c r="B105" s="3652" t="s">
        <v>2420</v>
      </c>
      <c r="C105" s="3652"/>
      <c r="D105" s="3652"/>
      <c r="N105" s="1960"/>
      <c r="O105" s="1935" t="s">
        <v>1726</v>
      </c>
      <c r="P105" s="3608"/>
      <c r="Q105" s="3612"/>
      <c r="AA105" s="2490">
        <v>105</v>
      </c>
    </row>
    <row r="106" spans="1:27" ht="15" customHeight="1">
      <c r="B106" s="1953" t="s">
        <v>3157</v>
      </c>
      <c r="D106" s="1953"/>
      <c r="E106" s="1953"/>
      <c r="F106" s="1953"/>
      <c r="G106" s="1953"/>
      <c r="H106" s="1941"/>
      <c r="I106" s="1934"/>
      <c r="J106" s="1934"/>
      <c r="K106" s="1934"/>
      <c r="L106" s="1931"/>
      <c r="M106" s="1931"/>
      <c r="N106" s="1931"/>
      <c r="O106" s="1931"/>
      <c r="P106" s="1931"/>
      <c r="Q106" s="1931"/>
      <c r="AA106" s="2490">
        <v>106</v>
      </c>
    </row>
    <row r="107" spans="1:27" ht="18.600000000000001" customHeight="1">
      <c r="A107" s="3605"/>
      <c r="B107" s="3605"/>
      <c r="C107" s="3605"/>
      <c r="D107" s="3605"/>
      <c r="E107" s="3605"/>
      <c r="F107" s="3605"/>
      <c r="G107" s="3605"/>
      <c r="H107" s="3605"/>
      <c r="I107" s="3605"/>
      <c r="J107" s="3605"/>
      <c r="K107" s="3605"/>
      <c r="L107" s="3605"/>
      <c r="M107" s="3605"/>
      <c r="N107" s="3605"/>
      <c r="O107" s="3605"/>
      <c r="P107" s="3605"/>
      <c r="Q107" s="3639"/>
      <c r="AA107" s="2490">
        <v>107</v>
      </c>
    </row>
    <row r="108" spans="1:27" ht="15" customHeight="1">
      <c r="B108" s="1937" t="s">
        <v>1725</v>
      </c>
      <c r="C108" s="1938"/>
      <c r="D108" s="1939"/>
      <c r="E108" s="1939"/>
      <c r="F108" s="1939"/>
      <c r="G108" s="1939"/>
      <c r="H108" s="1939"/>
      <c r="I108" s="1939"/>
      <c r="J108" s="1939"/>
      <c r="K108" s="1939"/>
      <c r="L108" s="1939"/>
      <c r="M108" s="1939"/>
      <c r="N108" s="1939"/>
      <c r="O108" s="1939"/>
      <c r="P108" s="1939"/>
      <c r="Q108" s="1939"/>
      <c r="AA108" s="2491">
        <v>108</v>
      </c>
    </row>
    <row r="109" spans="1:27" ht="18.600000000000001" customHeight="1">
      <c r="A109" s="3610"/>
      <c r="B109" s="3610"/>
      <c r="C109" s="3610"/>
      <c r="D109" s="3610"/>
      <c r="E109" s="3610"/>
      <c r="F109" s="3610"/>
      <c r="G109" s="3610"/>
      <c r="H109" s="3610"/>
      <c r="I109" s="3610"/>
      <c r="J109" s="3610"/>
      <c r="K109" s="3610"/>
      <c r="L109" s="3610"/>
      <c r="M109" s="3610"/>
      <c r="N109" s="3610"/>
      <c r="O109" s="3610"/>
      <c r="P109" s="3610"/>
      <c r="Q109" s="3607"/>
      <c r="AA109" s="2490">
        <v>109</v>
      </c>
    </row>
    <row r="110" spans="1:27" ht="11.25" customHeight="1">
      <c r="A110" s="1931"/>
      <c r="B110" s="1934"/>
      <c r="C110" s="1939"/>
      <c r="D110" s="1939"/>
      <c r="E110" s="1939"/>
      <c r="F110" s="1939"/>
      <c r="G110" s="1939"/>
      <c r="H110" s="1939"/>
      <c r="I110" s="1939"/>
      <c r="J110" s="1939"/>
      <c r="K110" s="1939"/>
      <c r="L110" s="1939"/>
      <c r="M110" s="1939"/>
      <c r="N110" s="1939"/>
      <c r="O110" s="1939"/>
      <c r="P110" s="1939"/>
      <c r="Q110" s="1931"/>
      <c r="AA110" s="2490">
        <v>110</v>
      </c>
    </row>
    <row r="111" spans="1:27" ht="11.25" customHeight="1">
      <c r="A111" s="1936"/>
      <c r="B111" s="1934"/>
      <c r="C111" s="1939"/>
      <c r="D111" s="1939"/>
      <c r="E111" s="1939"/>
      <c r="F111" s="1939"/>
      <c r="G111" s="1939"/>
      <c r="H111" s="1939"/>
      <c r="I111" s="1939"/>
      <c r="J111" s="1939"/>
      <c r="K111" s="1939"/>
      <c r="L111" s="1939"/>
      <c r="M111" s="1939"/>
      <c r="N111" s="1939"/>
      <c r="O111" s="1939"/>
      <c r="P111" s="1939"/>
      <c r="Q111" s="1931"/>
      <c r="AA111" s="2490">
        <v>111</v>
      </c>
    </row>
    <row r="112" spans="1:27" ht="15.6" customHeight="1">
      <c r="A112" s="1940" t="s">
        <v>342</v>
      </c>
      <c r="B112" s="1940" t="s">
        <v>2421</v>
      </c>
      <c r="C112" s="1940"/>
      <c r="D112" s="1939"/>
      <c r="E112" s="1939"/>
      <c r="G112" s="1939"/>
      <c r="J112" s="1949"/>
      <c r="K112" s="1949"/>
      <c r="L112" s="1949"/>
      <c r="M112" s="1949"/>
      <c r="N112" s="1960"/>
      <c r="O112" s="1935" t="s">
        <v>1726</v>
      </c>
      <c r="P112" s="3636"/>
      <c r="Q112" s="3637"/>
      <c r="AA112" s="2490">
        <v>112</v>
      </c>
    </row>
    <row r="113" spans="1:27" ht="14.1" customHeight="1">
      <c r="A113" s="1946"/>
      <c r="B113" s="1933" t="s">
        <v>4669</v>
      </c>
      <c r="H113" s="1933" t="s">
        <v>4670</v>
      </c>
      <c r="J113" s="3649" t="s">
        <v>1705</v>
      </c>
      <c r="K113" s="3650"/>
      <c r="L113" s="3650"/>
      <c r="M113" s="3650"/>
      <c r="N113" s="3650"/>
      <c r="O113" s="3650"/>
      <c r="P113" s="3650"/>
      <c r="Q113" s="3651"/>
      <c r="AA113" s="2490">
        <v>113</v>
      </c>
    </row>
    <row r="114" spans="1:27" ht="14.1" customHeight="1">
      <c r="A114" s="1946"/>
      <c r="B114" s="1946"/>
      <c r="H114" s="1933" t="s">
        <v>4671</v>
      </c>
      <c r="J114" s="3646" t="s">
        <v>1705</v>
      </c>
      <c r="K114" s="3647"/>
      <c r="L114" s="3647"/>
      <c r="M114" s="3647"/>
      <c r="N114" s="3647"/>
      <c r="O114" s="3647"/>
      <c r="P114" s="3647"/>
      <c r="Q114" s="3648"/>
      <c r="AA114" s="2490">
        <v>114</v>
      </c>
    </row>
    <row r="115" spans="1:27" ht="15" customHeight="1">
      <c r="A115" s="1946"/>
      <c r="B115" s="1953" t="s">
        <v>3157</v>
      </c>
      <c r="C115" s="1973"/>
      <c r="D115" s="1973"/>
      <c r="E115" s="1973"/>
      <c r="F115" s="1973"/>
      <c r="H115" s="1936"/>
      <c r="I115" s="1936"/>
      <c r="J115" s="1936"/>
      <c r="K115" s="1936"/>
      <c r="L115" s="1936"/>
      <c r="M115" s="1936"/>
      <c r="N115" s="1936"/>
      <c r="O115" s="1936"/>
      <c r="P115" s="1936"/>
      <c r="Q115" s="1936"/>
      <c r="AA115" s="2490">
        <v>115</v>
      </c>
    </row>
    <row r="116" spans="1:27" ht="18.600000000000001" customHeight="1">
      <c r="A116" s="3605"/>
      <c r="B116" s="3605"/>
      <c r="C116" s="3605"/>
      <c r="D116" s="3605"/>
      <c r="E116" s="3605"/>
      <c r="F116" s="3605"/>
      <c r="G116" s="3605"/>
      <c r="H116" s="3605"/>
      <c r="I116" s="3605"/>
      <c r="J116" s="3605"/>
      <c r="K116" s="3605"/>
      <c r="L116" s="3605"/>
      <c r="M116" s="3605"/>
      <c r="N116" s="3605"/>
      <c r="O116" s="3605"/>
      <c r="P116" s="3605"/>
      <c r="Q116" s="3639"/>
      <c r="AA116" s="2490">
        <v>116</v>
      </c>
    </row>
    <row r="117" spans="1:27" ht="15" customHeight="1">
      <c r="B117" s="1937" t="s">
        <v>1725</v>
      </c>
      <c r="C117" s="1938"/>
      <c r="D117" s="1939"/>
      <c r="E117" s="1939"/>
      <c r="F117" s="1939"/>
      <c r="G117" s="1939"/>
      <c r="H117" s="1939"/>
      <c r="I117" s="1939"/>
      <c r="J117" s="1939"/>
      <c r="K117" s="1939"/>
      <c r="L117" s="1939"/>
      <c r="M117" s="1939"/>
      <c r="N117" s="1939"/>
      <c r="O117" s="1939"/>
      <c r="P117" s="1939"/>
      <c r="Q117" s="1939"/>
      <c r="AA117" s="2491">
        <v>117</v>
      </c>
    </row>
    <row r="118" spans="1:27" ht="18.600000000000001" customHeight="1">
      <c r="A118" s="3610"/>
      <c r="B118" s="3610"/>
      <c r="C118" s="3610"/>
      <c r="D118" s="3610"/>
      <c r="E118" s="3610"/>
      <c r="F118" s="3610"/>
      <c r="G118" s="3610"/>
      <c r="H118" s="3610"/>
      <c r="I118" s="3610"/>
      <c r="J118" s="3610"/>
      <c r="K118" s="3610"/>
      <c r="L118" s="3610"/>
      <c r="M118" s="3610"/>
      <c r="N118" s="3610"/>
      <c r="O118" s="3610"/>
      <c r="P118" s="3610"/>
      <c r="Q118" s="3611"/>
      <c r="AA118" s="2490">
        <v>118</v>
      </c>
    </row>
    <row r="119" spans="1:27" ht="12.75" customHeight="1">
      <c r="B119" s="1934"/>
      <c r="C119" s="1939"/>
      <c r="D119" s="1939"/>
      <c r="E119" s="1939"/>
      <c r="F119" s="1939"/>
      <c r="G119" s="1939"/>
      <c r="H119" s="1939"/>
      <c r="I119" s="1939"/>
      <c r="J119" s="1939"/>
      <c r="K119" s="1939"/>
      <c r="L119" s="1939"/>
      <c r="M119" s="1939"/>
      <c r="Q119" s="1931"/>
      <c r="AA119" s="2490">
        <v>119</v>
      </c>
    </row>
    <row r="120" spans="1:27" ht="12.75" customHeight="1">
      <c r="A120" s="1936"/>
      <c r="B120" s="1934"/>
      <c r="C120" s="1939"/>
      <c r="D120" s="1939"/>
      <c r="E120" s="1939"/>
      <c r="F120" s="1939"/>
      <c r="G120" s="1939"/>
      <c r="H120" s="1939"/>
      <c r="I120" s="1939"/>
      <c r="J120" s="1939"/>
      <c r="K120" s="1939"/>
      <c r="L120" s="1939"/>
      <c r="M120" s="1939"/>
      <c r="Q120" s="1931"/>
      <c r="AA120" s="2490">
        <v>120</v>
      </c>
    </row>
    <row r="121" spans="1:27" ht="20.25" customHeight="1">
      <c r="A121" s="1940" t="s">
        <v>343</v>
      </c>
      <c r="B121" s="1932" t="s">
        <v>4672</v>
      </c>
      <c r="C121" s="1932"/>
      <c r="D121" s="1932"/>
      <c r="E121" s="1932"/>
      <c r="F121" s="1932"/>
      <c r="G121" s="1939"/>
      <c r="H121" s="1939"/>
      <c r="J121" s="1939"/>
      <c r="K121" s="1939"/>
      <c r="L121" s="1939"/>
      <c r="M121" s="1939"/>
      <c r="N121" s="1960"/>
      <c r="O121" s="1935" t="s">
        <v>1726</v>
      </c>
      <c r="P121" s="3608"/>
      <c r="Q121" s="3612"/>
      <c r="AA121" s="2490">
        <v>121</v>
      </c>
    </row>
    <row r="122" spans="1:27" ht="14.45" customHeight="1">
      <c r="A122" s="1946"/>
      <c r="B122" s="1933" t="s">
        <v>4673</v>
      </c>
      <c r="H122" s="1933" t="s">
        <v>4674</v>
      </c>
      <c r="J122" s="3649" t="s">
        <v>1705</v>
      </c>
      <c r="K122" s="3650"/>
      <c r="L122" s="3650"/>
      <c r="M122" s="3650"/>
      <c r="N122" s="3650"/>
      <c r="O122" s="3650"/>
      <c r="P122" s="3650"/>
      <c r="Q122" s="3651"/>
      <c r="R122" s="1974"/>
      <c r="AA122" s="2490">
        <v>122</v>
      </c>
    </row>
    <row r="123" spans="1:27" ht="14.45" customHeight="1">
      <c r="A123" s="1973"/>
      <c r="B123" s="1946"/>
      <c r="H123" s="1933" t="s">
        <v>4675</v>
      </c>
      <c r="J123" s="3646" t="s">
        <v>1705</v>
      </c>
      <c r="K123" s="3647"/>
      <c r="L123" s="3647"/>
      <c r="M123" s="3647"/>
      <c r="N123" s="3647"/>
      <c r="O123" s="3647"/>
      <c r="P123" s="3647"/>
      <c r="Q123" s="3648"/>
      <c r="R123" s="1974"/>
      <c r="AA123" s="2490">
        <v>123</v>
      </c>
    </row>
    <row r="124" spans="1:27" ht="15" customHeight="1">
      <c r="B124" s="1953" t="s">
        <v>3157</v>
      </c>
      <c r="D124" s="1953"/>
      <c r="E124" s="1953"/>
      <c r="F124" s="1953"/>
      <c r="G124" s="1953"/>
      <c r="H124" s="1941"/>
      <c r="I124" s="1934"/>
      <c r="J124" s="1934"/>
      <c r="K124" s="1934"/>
      <c r="L124" s="1931"/>
      <c r="M124" s="1931"/>
      <c r="N124" s="1931"/>
      <c r="O124" s="1931"/>
      <c r="P124" s="1931"/>
      <c r="Q124" s="1931"/>
      <c r="AA124" s="2490">
        <v>124</v>
      </c>
    </row>
    <row r="125" spans="1:27" ht="20.25" customHeight="1">
      <c r="A125" s="3605"/>
      <c r="B125" s="3605"/>
      <c r="C125" s="3605"/>
      <c r="D125" s="3605"/>
      <c r="E125" s="3605"/>
      <c r="F125" s="3605"/>
      <c r="G125" s="3605"/>
      <c r="H125" s="3605"/>
      <c r="I125" s="3605"/>
      <c r="J125" s="3605"/>
      <c r="K125" s="3605"/>
      <c r="L125" s="3605"/>
      <c r="M125" s="3605"/>
      <c r="N125" s="3605"/>
      <c r="O125" s="3605"/>
      <c r="P125" s="3605"/>
      <c r="Q125" s="3639"/>
      <c r="AA125" s="2490">
        <v>125</v>
      </c>
    </row>
    <row r="126" spans="1:27" ht="15" customHeight="1">
      <c r="B126" s="1937" t="s">
        <v>1725</v>
      </c>
      <c r="C126" s="1938"/>
      <c r="D126" s="1939"/>
      <c r="E126" s="1939"/>
      <c r="F126" s="1939"/>
      <c r="G126" s="1939"/>
      <c r="H126" s="1939"/>
      <c r="I126" s="1939"/>
      <c r="J126" s="1939"/>
      <c r="K126" s="1939"/>
      <c r="L126" s="1939"/>
      <c r="M126" s="1939"/>
      <c r="N126" s="1939"/>
      <c r="O126" s="1939"/>
      <c r="P126" s="1939"/>
      <c r="Q126" s="1939"/>
      <c r="AA126" s="2491">
        <v>126</v>
      </c>
    </row>
    <row r="127" spans="1:27" ht="20.25" customHeight="1">
      <c r="A127" s="3610"/>
      <c r="B127" s="3610"/>
      <c r="C127" s="3610"/>
      <c r="D127" s="3610"/>
      <c r="E127" s="3610"/>
      <c r="F127" s="3610"/>
      <c r="G127" s="3610"/>
      <c r="H127" s="3610"/>
      <c r="I127" s="3610"/>
      <c r="J127" s="3610"/>
      <c r="K127" s="3610"/>
      <c r="L127" s="3610"/>
      <c r="M127" s="3610"/>
      <c r="N127" s="3610"/>
      <c r="O127" s="3610"/>
      <c r="P127" s="3610"/>
      <c r="Q127" s="3611"/>
      <c r="AA127" s="2490">
        <v>127</v>
      </c>
    </row>
    <row r="128" spans="1:27" ht="11.25" customHeight="1">
      <c r="A128" s="1931"/>
      <c r="B128" s="1934"/>
      <c r="C128" s="1939"/>
      <c r="D128" s="1939"/>
      <c r="E128" s="1939"/>
      <c r="F128" s="1939"/>
      <c r="G128" s="1939"/>
      <c r="H128" s="1939"/>
      <c r="I128" s="1939"/>
      <c r="J128" s="1939"/>
      <c r="K128" s="1939"/>
      <c r="L128" s="1939"/>
      <c r="M128" s="1939"/>
      <c r="Q128" s="1931"/>
      <c r="AA128" s="2490">
        <v>128</v>
      </c>
    </row>
    <row r="129" spans="1:27" ht="11.25" customHeight="1">
      <c r="A129" s="1936"/>
      <c r="B129" s="1934"/>
      <c r="C129" s="1939"/>
      <c r="D129" s="1939"/>
      <c r="E129" s="1939"/>
      <c r="F129" s="1939"/>
      <c r="G129" s="1939"/>
      <c r="H129" s="1939"/>
      <c r="I129" s="1939"/>
      <c r="J129" s="1939"/>
      <c r="K129" s="1939"/>
      <c r="L129" s="1939"/>
      <c r="M129" s="1939"/>
      <c r="Q129" s="1931"/>
      <c r="AA129" s="2490">
        <v>129</v>
      </c>
    </row>
    <row r="130" spans="1:27" ht="20.25" customHeight="1">
      <c r="A130" s="1940" t="s">
        <v>344</v>
      </c>
      <c r="B130" s="1940" t="s">
        <v>2423</v>
      </c>
      <c r="C130" s="1940"/>
      <c r="D130" s="1939"/>
      <c r="E130" s="1939"/>
      <c r="F130" s="1939"/>
      <c r="G130" s="1939"/>
      <c r="H130" s="1939"/>
      <c r="I130" s="1939"/>
      <c r="J130" s="1939"/>
      <c r="K130" s="1939"/>
      <c r="L130" s="1939"/>
      <c r="M130" s="1939"/>
      <c r="O130" s="1935" t="s">
        <v>1726</v>
      </c>
      <c r="P130" s="3608"/>
      <c r="Q130" s="3612"/>
      <c r="AA130" s="2490">
        <v>130</v>
      </c>
    </row>
    <row r="131" spans="1:27" ht="27.6" customHeight="1">
      <c r="A131" s="1936"/>
      <c r="B131" s="3613" t="s">
        <v>5001</v>
      </c>
      <c r="C131" s="3613"/>
      <c r="D131" s="3613"/>
      <c r="E131" s="3613"/>
      <c r="F131" s="3613"/>
      <c r="G131" s="3613"/>
      <c r="H131" s="3613"/>
      <c r="I131" s="3613"/>
      <c r="J131" s="3613"/>
      <c r="K131" s="3613"/>
      <c r="L131" s="3613"/>
      <c r="M131" s="3613"/>
      <c r="N131" s="3613"/>
      <c r="O131" s="3614"/>
      <c r="P131" s="3622"/>
      <c r="Q131" s="3623"/>
      <c r="AA131" s="2490">
        <v>131</v>
      </c>
    </row>
    <row r="132" spans="1:27" ht="20.25" customHeight="1">
      <c r="A132" s="1946" t="s">
        <v>1836</v>
      </c>
      <c r="B132" s="1933" t="s">
        <v>4676</v>
      </c>
      <c r="O132" s="1942"/>
      <c r="P132" s="1936"/>
      <c r="Q132" s="1936"/>
      <c r="AA132" s="2490">
        <v>132</v>
      </c>
    </row>
    <row r="133" spans="1:27" ht="14.45" customHeight="1">
      <c r="A133" s="1946"/>
      <c r="B133" s="1941"/>
      <c r="C133" s="1933" t="s">
        <v>1787</v>
      </c>
      <c r="J133" s="1942"/>
      <c r="K133" s="1936"/>
      <c r="L133" s="1936"/>
      <c r="M133" s="3666" t="s">
        <v>1641</v>
      </c>
      <c r="N133" s="3667"/>
      <c r="O133" s="3667"/>
      <c r="P133" s="3667"/>
      <c r="Q133" s="3668"/>
      <c r="AA133" s="2490">
        <v>133</v>
      </c>
    </row>
    <row r="134" spans="1:27" ht="14.45" customHeight="1">
      <c r="A134" s="1946"/>
      <c r="B134" s="1941"/>
      <c r="C134" s="1941" t="s">
        <v>4612</v>
      </c>
      <c r="E134" s="1941"/>
      <c r="F134" s="1941"/>
      <c r="G134" s="1941"/>
      <c r="H134" s="1941"/>
      <c r="J134" s="1942"/>
      <c r="K134" s="1936"/>
      <c r="L134" s="1936"/>
      <c r="M134" s="3653" t="s">
        <v>1641</v>
      </c>
      <c r="N134" s="3654"/>
      <c r="O134" s="3654"/>
      <c r="P134" s="3654"/>
      <c r="Q134" s="3655"/>
      <c r="AA134" s="2490">
        <v>134</v>
      </c>
    </row>
    <row r="135" spans="1:27" ht="14.45" customHeight="1">
      <c r="A135" s="1946"/>
      <c r="B135" s="1941"/>
      <c r="C135" s="3656" t="s">
        <v>4091</v>
      </c>
      <c r="D135" s="3657"/>
      <c r="E135" s="3657"/>
      <c r="F135" s="3657"/>
      <c r="G135" s="3657"/>
      <c r="H135" s="3657"/>
      <c r="I135" s="3657"/>
      <c r="J135" s="3657"/>
      <c r="K135" s="3657"/>
      <c r="L135" s="3657"/>
      <c r="M135" s="3658"/>
      <c r="N135" s="3658"/>
      <c r="O135" s="3658"/>
      <c r="P135" s="3658"/>
      <c r="Q135" s="3659"/>
      <c r="AA135" s="2491">
        <v>135</v>
      </c>
    </row>
    <row r="136" spans="1:27" ht="14.45" customHeight="1">
      <c r="A136" s="1946"/>
      <c r="B136" s="1941"/>
      <c r="C136" s="1941" t="s">
        <v>3663</v>
      </c>
      <c r="E136" s="1941"/>
      <c r="F136" s="1941"/>
      <c r="G136" s="1941"/>
      <c r="H136" s="1941"/>
      <c r="J136" s="1942"/>
      <c r="K136" s="1936"/>
      <c r="L136" s="1936"/>
      <c r="M136" s="3646" t="s">
        <v>1641</v>
      </c>
      <c r="N136" s="3647"/>
      <c r="O136" s="3647"/>
      <c r="P136" s="3647"/>
      <c r="Q136" s="3648"/>
      <c r="AA136" s="2490">
        <v>136</v>
      </c>
    </row>
    <row r="137" spans="1:27" ht="20.25" customHeight="1">
      <c r="A137" s="1946" t="s">
        <v>1838</v>
      </c>
      <c r="B137" s="3613" t="s">
        <v>4677</v>
      </c>
      <c r="C137" s="3613"/>
      <c r="D137" s="3613"/>
      <c r="E137" s="3613"/>
      <c r="F137" s="3613"/>
      <c r="G137" s="3613"/>
      <c r="H137" s="3613"/>
      <c r="I137" s="3613"/>
      <c r="J137" s="3613"/>
      <c r="K137" s="3613"/>
      <c r="L137" s="3613"/>
      <c r="M137" s="3613"/>
      <c r="N137" s="3613"/>
      <c r="O137" s="1942"/>
      <c r="P137" s="1975"/>
      <c r="Q137" s="1931"/>
      <c r="AA137" s="2490">
        <v>137</v>
      </c>
    </row>
    <row r="138" spans="1:27" ht="27.6" customHeight="1">
      <c r="A138" s="1962"/>
      <c r="B138" s="1939"/>
      <c r="C138" s="3613" t="s">
        <v>4678</v>
      </c>
      <c r="D138" s="3613"/>
      <c r="E138" s="3613"/>
      <c r="F138" s="3613"/>
      <c r="G138" s="3613"/>
      <c r="H138" s="3613"/>
      <c r="I138" s="3613"/>
      <c r="J138" s="3613"/>
      <c r="K138" s="3613"/>
      <c r="L138" s="3613"/>
      <c r="M138" s="3613"/>
      <c r="N138" s="3613"/>
      <c r="O138" s="3613"/>
      <c r="P138" s="3613"/>
      <c r="Q138" s="3613"/>
      <c r="AA138" s="2490">
        <v>138</v>
      </c>
    </row>
    <row r="139" spans="1:27" ht="15.75" customHeight="1">
      <c r="A139" s="1931"/>
      <c r="B139" s="1969" t="s">
        <v>1611</v>
      </c>
      <c r="C139" s="3660" t="s">
        <v>949</v>
      </c>
      <c r="D139" s="3661"/>
      <c r="E139" s="3661"/>
      <c r="F139" s="3661"/>
      <c r="G139" s="3661"/>
      <c r="H139" s="3662"/>
      <c r="I139" s="1936"/>
      <c r="J139" s="3663" t="s">
        <v>4679</v>
      </c>
      <c r="K139" s="3664"/>
      <c r="L139" s="3664"/>
      <c r="M139" s="3664"/>
      <c r="N139" s="3664"/>
      <c r="O139" s="3664"/>
      <c r="P139" s="3664"/>
      <c r="Q139" s="3665"/>
      <c r="AA139" s="2490">
        <v>139</v>
      </c>
    </row>
    <row r="140" spans="1:27" ht="15.75" customHeight="1">
      <c r="A140" s="1931"/>
      <c r="B140" s="1969" t="s">
        <v>1612</v>
      </c>
      <c r="C140" s="3678" t="s">
        <v>949</v>
      </c>
      <c r="D140" s="3679"/>
      <c r="E140" s="3679"/>
      <c r="F140" s="3679"/>
      <c r="G140" s="3679"/>
      <c r="H140" s="3680"/>
      <c r="I140" s="1936"/>
      <c r="J140" s="3681" t="s">
        <v>4679</v>
      </c>
      <c r="K140" s="3682"/>
      <c r="L140" s="3682"/>
      <c r="M140" s="3682"/>
      <c r="N140" s="3682"/>
      <c r="O140" s="3682"/>
      <c r="P140" s="3682"/>
      <c r="Q140" s="3683"/>
      <c r="AA140" s="2490">
        <v>140</v>
      </c>
    </row>
    <row r="141" spans="1:27" ht="15.75" customHeight="1">
      <c r="A141" s="1931"/>
      <c r="B141" s="1969" t="s">
        <v>1613</v>
      </c>
      <c r="C141" s="3678" t="s">
        <v>949</v>
      </c>
      <c r="D141" s="3679"/>
      <c r="E141" s="3679"/>
      <c r="F141" s="3679"/>
      <c r="G141" s="3679"/>
      <c r="H141" s="3680"/>
      <c r="I141" s="1936"/>
      <c r="J141" s="3681" t="s">
        <v>4679</v>
      </c>
      <c r="K141" s="3682"/>
      <c r="L141" s="3682"/>
      <c r="M141" s="3682"/>
      <c r="N141" s="3682"/>
      <c r="O141" s="3682"/>
      <c r="P141" s="3682"/>
      <c r="Q141" s="3683"/>
      <c r="AA141" s="2490">
        <v>141</v>
      </c>
    </row>
    <row r="142" spans="1:27" ht="15.75" customHeight="1">
      <c r="A142" s="1931"/>
      <c r="B142" s="1969" t="s">
        <v>2176</v>
      </c>
      <c r="C142" s="3684" t="s">
        <v>949</v>
      </c>
      <c r="D142" s="3685"/>
      <c r="E142" s="3685"/>
      <c r="F142" s="3685"/>
      <c r="G142" s="3685"/>
      <c r="H142" s="3686"/>
      <c r="I142" s="1936"/>
      <c r="J142" s="3687" t="s">
        <v>4679</v>
      </c>
      <c r="K142" s="3688"/>
      <c r="L142" s="3688"/>
      <c r="M142" s="3688"/>
      <c r="N142" s="3688"/>
      <c r="O142" s="3688"/>
      <c r="P142" s="3688"/>
      <c r="Q142" s="3689"/>
      <c r="AA142" s="2490">
        <v>142</v>
      </c>
    </row>
    <row r="143" spans="1:27" ht="15" customHeight="1">
      <c r="B143" s="1943" t="s">
        <v>3157</v>
      </c>
      <c r="D143" s="1943"/>
      <c r="E143" s="1943"/>
      <c r="F143" s="1943"/>
      <c r="G143" s="1943"/>
      <c r="H143" s="1941"/>
      <c r="I143" s="1934"/>
      <c r="J143" s="1934"/>
      <c r="K143" s="1934"/>
      <c r="L143" s="1931"/>
      <c r="M143" s="1931"/>
      <c r="N143" s="1931"/>
      <c r="O143" s="1931"/>
      <c r="P143" s="1936"/>
      <c r="Q143" s="1936"/>
      <c r="AA143" s="2490">
        <v>143</v>
      </c>
    </row>
    <row r="144" spans="1:27" ht="20.25" customHeight="1">
      <c r="A144" s="3605"/>
      <c r="B144" s="3605"/>
      <c r="C144" s="3605"/>
      <c r="D144" s="3605"/>
      <c r="E144" s="3605"/>
      <c r="F144" s="3605"/>
      <c r="G144" s="3605"/>
      <c r="H144" s="3605"/>
      <c r="I144" s="3605"/>
      <c r="J144" s="3605"/>
      <c r="K144" s="3605"/>
      <c r="L144" s="3605"/>
      <c r="M144" s="3605"/>
      <c r="N144" s="3605"/>
      <c r="O144" s="3605"/>
      <c r="P144" s="3605"/>
      <c r="Q144" s="3639"/>
      <c r="AA144" s="2491">
        <v>144</v>
      </c>
    </row>
    <row r="145" spans="1:27" ht="15" customHeight="1">
      <c r="B145" s="1937" t="s">
        <v>1725</v>
      </c>
      <c r="C145" s="1938"/>
      <c r="D145" s="1939"/>
      <c r="E145" s="1939"/>
      <c r="F145" s="1939"/>
      <c r="G145" s="1939"/>
      <c r="H145" s="1939"/>
      <c r="I145" s="1939"/>
      <c r="J145" s="1939"/>
      <c r="K145" s="1939"/>
      <c r="L145" s="1939"/>
      <c r="M145" s="1939"/>
      <c r="N145" s="1939"/>
      <c r="O145" s="1939"/>
      <c r="P145" s="1939"/>
      <c r="Q145" s="1939"/>
      <c r="AA145" s="2490">
        <v>145</v>
      </c>
    </row>
    <row r="146" spans="1:27" ht="20.25" customHeight="1">
      <c r="A146" s="3610"/>
      <c r="B146" s="3610"/>
      <c r="C146" s="3610"/>
      <c r="D146" s="3610"/>
      <c r="E146" s="3610"/>
      <c r="F146" s="3610"/>
      <c r="G146" s="3610"/>
      <c r="H146" s="3610"/>
      <c r="I146" s="3610"/>
      <c r="J146" s="3610"/>
      <c r="K146" s="3610"/>
      <c r="L146" s="3610"/>
      <c r="M146" s="3610"/>
      <c r="N146" s="3610"/>
      <c r="O146" s="3610"/>
      <c r="P146" s="3610"/>
      <c r="Q146" s="3607"/>
      <c r="AA146" s="2490">
        <v>146</v>
      </c>
    </row>
    <row r="147" spans="1:27" ht="11.25" customHeight="1">
      <c r="A147" s="1931"/>
      <c r="B147" s="1934"/>
      <c r="C147" s="1939"/>
      <c r="D147" s="1939"/>
      <c r="E147" s="1939"/>
      <c r="F147" s="1939"/>
      <c r="G147" s="1939"/>
      <c r="H147" s="1939"/>
      <c r="I147" s="1939"/>
      <c r="J147" s="1939"/>
      <c r="K147" s="1939"/>
      <c r="L147" s="1939"/>
      <c r="M147" s="1939"/>
      <c r="Q147" s="1931"/>
      <c r="AA147" s="2490">
        <v>147</v>
      </c>
    </row>
    <row r="148" spans="1:27" ht="11.25" customHeight="1">
      <c r="A148" s="1936"/>
      <c r="B148" s="1934"/>
      <c r="C148" s="1939"/>
      <c r="D148" s="1939"/>
      <c r="E148" s="1939"/>
      <c r="F148" s="1939"/>
      <c r="G148" s="1939"/>
      <c r="H148" s="1939"/>
      <c r="I148" s="1939"/>
      <c r="J148" s="1939"/>
      <c r="K148" s="1939"/>
      <c r="L148" s="1939"/>
      <c r="M148" s="1939"/>
      <c r="Q148" s="1931"/>
      <c r="AA148" s="2490">
        <v>148</v>
      </c>
    </row>
    <row r="149" spans="1:27" ht="20.25" customHeight="1">
      <c r="A149" s="1940" t="s">
        <v>1602</v>
      </c>
      <c r="B149" s="1932" t="s">
        <v>3827</v>
      </c>
      <c r="C149" s="1932"/>
      <c r="D149" s="1932"/>
      <c r="E149" s="1932"/>
      <c r="F149" s="1932"/>
      <c r="G149" s="1932"/>
      <c r="H149" s="1939"/>
      <c r="I149" s="1939"/>
      <c r="J149" s="1939"/>
      <c r="K149" s="1939"/>
      <c r="L149" s="1976"/>
      <c r="M149" s="1977"/>
      <c r="O149" s="1935" t="s">
        <v>1726</v>
      </c>
      <c r="P149" s="3636"/>
      <c r="Q149" s="3637"/>
      <c r="AA149" s="2490">
        <v>149</v>
      </c>
    </row>
    <row r="150" spans="1:27" ht="20.25" customHeight="1">
      <c r="A150" s="1936"/>
      <c r="B150" s="1933" t="s">
        <v>4680</v>
      </c>
      <c r="C150" s="1936"/>
      <c r="D150" s="1936"/>
      <c r="E150" s="1936"/>
      <c r="F150" s="1936"/>
      <c r="G150" s="1936"/>
      <c r="H150" s="1936"/>
      <c r="I150" s="1936"/>
      <c r="J150" s="1936"/>
      <c r="K150" s="1936"/>
      <c r="L150" s="1936"/>
      <c r="M150" s="1936"/>
      <c r="N150" s="1934"/>
      <c r="O150" s="1936"/>
      <c r="P150" s="3669"/>
      <c r="Q150" s="3670"/>
      <c r="AA150" s="2490">
        <v>150</v>
      </c>
    </row>
    <row r="151" spans="1:27" ht="20.25" customHeight="1">
      <c r="A151" s="1946"/>
      <c r="B151" s="1933" t="s">
        <v>1190</v>
      </c>
      <c r="G151" s="1936"/>
      <c r="H151" s="3671" t="s">
        <v>1641</v>
      </c>
      <c r="I151" s="3672"/>
      <c r="J151" s="3672"/>
      <c r="K151" s="3672"/>
      <c r="L151" s="3672"/>
      <c r="M151" s="3672"/>
      <c r="N151" s="3672"/>
      <c r="O151" s="3672"/>
      <c r="P151" s="3673"/>
      <c r="Q151" s="3674"/>
      <c r="R151" s="1955"/>
      <c r="AA151" s="2490">
        <v>151</v>
      </c>
    </row>
    <row r="152" spans="1:27" ht="20.25" customHeight="1">
      <c r="A152" s="1946"/>
      <c r="B152" s="1933" t="s">
        <v>1801</v>
      </c>
      <c r="G152" s="1936"/>
      <c r="H152" s="3675"/>
      <c r="I152" s="3676"/>
      <c r="J152" s="3676"/>
      <c r="K152" s="3676"/>
      <c r="L152" s="3676"/>
      <c r="M152" s="3676"/>
      <c r="N152" s="3676"/>
      <c r="O152" s="3676"/>
      <c r="P152" s="3676"/>
      <c r="Q152" s="3677"/>
      <c r="R152" s="1955"/>
      <c r="AA152" s="2490">
        <v>152</v>
      </c>
    </row>
    <row r="153" spans="1:27" ht="15" customHeight="1">
      <c r="B153" s="1953" t="s">
        <v>3157</v>
      </c>
      <c r="D153" s="1953"/>
      <c r="E153" s="1953"/>
      <c r="F153" s="1953"/>
      <c r="G153" s="1953"/>
      <c r="H153" s="1941"/>
      <c r="I153" s="1934"/>
      <c r="J153" s="1934"/>
      <c r="K153" s="1934"/>
      <c r="L153" s="1931"/>
      <c r="M153" s="1931"/>
      <c r="N153" s="1931"/>
      <c r="O153" s="1931"/>
      <c r="P153" s="1931"/>
      <c r="Q153" s="1931"/>
      <c r="AA153" s="2491">
        <v>153</v>
      </c>
    </row>
    <row r="154" spans="1:27" ht="20.25" customHeight="1">
      <c r="A154" s="3605"/>
      <c r="B154" s="3605"/>
      <c r="C154" s="3605"/>
      <c r="D154" s="3605"/>
      <c r="E154" s="3605"/>
      <c r="F154" s="3605"/>
      <c r="G154" s="3605"/>
      <c r="H154" s="3605"/>
      <c r="I154" s="3605"/>
      <c r="J154" s="3605"/>
      <c r="K154" s="3605"/>
      <c r="L154" s="3605"/>
      <c r="M154" s="3605"/>
      <c r="N154" s="3605"/>
      <c r="O154" s="3605"/>
      <c r="P154" s="3605"/>
      <c r="Q154" s="3639"/>
      <c r="AA154" s="2490">
        <v>154</v>
      </c>
    </row>
    <row r="155" spans="1:27" ht="15" customHeight="1">
      <c r="B155" s="1937" t="s">
        <v>1725</v>
      </c>
      <c r="C155" s="1938"/>
      <c r="D155" s="1939"/>
      <c r="E155" s="1939"/>
      <c r="F155" s="1939"/>
      <c r="G155" s="1939"/>
      <c r="H155" s="1939"/>
      <c r="I155" s="1939"/>
      <c r="J155" s="1939"/>
      <c r="K155" s="1939"/>
      <c r="L155" s="1939"/>
      <c r="M155" s="1939"/>
      <c r="N155" s="1939"/>
      <c r="O155" s="1939"/>
      <c r="P155" s="1939"/>
      <c r="Q155" s="1939"/>
      <c r="AA155" s="2490">
        <v>155</v>
      </c>
    </row>
    <row r="156" spans="1:27" ht="20.25" customHeight="1">
      <c r="A156" s="3610"/>
      <c r="B156" s="3610"/>
      <c r="C156" s="3610"/>
      <c r="D156" s="3610"/>
      <c r="E156" s="3610"/>
      <c r="F156" s="3610"/>
      <c r="G156" s="3610"/>
      <c r="H156" s="3610"/>
      <c r="I156" s="3610"/>
      <c r="J156" s="3610"/>
      <c r="K156" s="3610"/>
      <c r="L156" s="3610"/>
      <c r="M156" s="3610"/>
      <c r="N156" s="3610"/>
      <c r="O156" s="3610"/>
      <c r="P156" s="3610"/>
      <c r="Q156" s="3607"/>
      <c r="AA156" s="2490">
        <v>156</v>
      </c>
    </row>
    <row r="157" spans="1:27" ht="11.25" customHeight="1">
      <c r="A157" s="1931"/>
      <c r="B157" s="1934"/>
      <c r="C157" s="1939"/>
      <c r="D157" s="1939"/>
      <c r="E157" s="1939"/>
      <c r="F157" s="1939"/>
      <c r="G157" s="1939"/>
      <c r="H157" s="1939"/>
      <c r="I157" s="1939"/>
      <c r="J157" s="1939"/>
      <c r="K157" s="1939"/>
      <c r="L157" s="1939"/>
      <c r="M157" s="1939"/>
      <c r="Q157" s="1931"/>
      <c r="AA157" s="2490">
        <v>157</v>
      </c>
    </row>
    <row r="158" spans="1:27" ht="11.25" customHeight="1">
      <c r="A158" s="1936"/>
      <c r="B158" s="1934"/>
      <c r="C158" s="1939"/>
      <c r="D158" s="1939"/>
      <c r="E158" s="1939"/>
      <c r="F158" s="1939"/>
      <c r="G158" s="1939"/>
      <c r="H158" s="1939"/>
      <c r="I158" s="1939"/>
      <c r="J158" s="1939"/>
      <c r="K158" s="1939"/>
      <c r="L158" s="1939"/>
      <c r="M158" s="1939"/>
      <c r="Q158" s="1931"/>
      <c r="AA158" s="2490">
        <v>158</v>
      </c>
    </row>
    <row r="159" spans="1:27" ht="20.25" customHeight="1">
      <c r="A159" s="1940" t="s">
        <v>2488</v>
      </c>
      <c r="B159" s="1932" t="s">
        <v>2424</v>
      </c>
      <c r="C159" s="1932"/>
      <c r="D159" s="1932"/>
      <c r="E159" s="1932"/>
      <c r="F159" s="1932"/>
      <c r="G159" s="1932"/>
      <c r="H159" s="1939"/>
      <c r="I159" s="1939"/>
      <c r="J159" s="1939"/>
      <c r="K159" s="1939"/>
      <c r="L159" s="1939"/>
      <c r="M159" s="1939"/>
      <c r="O159" s="1935" t="s">
        <v>1726</v>
      </c>
      <c r="P159" s="3608"/>
      <c r="Q159" s="3612"/>
      <c r="AA159" s="2490">
        <v>159</v>
      </c>
    </row>
    <row r="160" spans="1:27" ht="15" customHeight="1">
      <c r="B160" s="1953" t="s">
        <v>3157</v>
      </c>
      <c r="D160" s="1953"/>
      <c r="E160" s="1953"/>
      <c r="F160" s="1953"/>
      <c r="G160" s="1953"/>
      <c r="H160" s="1941"/>
      <c r="I160" s="1934"/>
      <c r="J160" s="1934"/>
      <c r="K160" s="1934"/>
      <c r="L160" s="1931"/>
      <c r="M160" s="1931"/>
      <c r="N160" s="1931"/>
      <c r="O160" s="1931"/>
      <c r="P160" s="1931"/>
      <c r="Q160" s="1931"/>
      <c r="AA160" s="2490">
        <v>160</v>
      </c>
    </row>
    <row r="161" spans="1:27" ht="20.25" customHeight="1">
      <c r="A161" s="3605"/>
      <c r="B161" s="3605"/>
      <c r="C161" s="3605"/>
      <c r="D161" s="3605"/>
      <c r="E161" s="3605"/>
      <c r="F161" s="3605"/>
      <c r="G161" s="3605"/>
      <c r="H161" s="3605"/>
      <c r="I161" s="3605"/>
      <c r="J161" s="3605"/>
      <c r="K161" s="3605"/>
      <c r="L161" s="3605"/>
      <c r="M161" s="3605"/>
      <c r="N161" s="3605"/>
      <c r="O161" s="3605"/>
      <c r="P161" s="3605"/>
      <c r="Q161" s="3639"/>
      <c r="AA161" s="2490">
        <v>161</v>
      </c>
    </row>
    <row r="162" spans="1:27" ht="15" customHeight="1">
      <c r="B162" s="1937" t="s">
        <v>1725</v>
      </c>
      <c r="C162" s="1938"/>
      <c r="D162" s="1939"/>
      <c r="E162" s="1939"/>
      <c r="F162" s="1939"/>
      <c r="G162" s="1939"/>
      <c r="H162" s="1939"/>
      <c r="I162" s="1939"/>
      <c r="J162" s="1939"/>
      <c r="K162" s="1939"/>
      <c r="L162" s="1939"/>
      <c r="M162" s="1939"/>
      <c r="N162" s="1939"/>
      <c r="O162" s="1939"/>
      <c r="P162" s="1939"/>
      <c r="Q162" s="1939"/>
      <c r="AA162" s="2491">
        <v>162</v>
      </c>
    </row>
    <row r="163" spans="1:27" ht="20.25" customHeight="1">
      <c r="A163" s="3610"/>
      <c r="B163" s="3610"/>
      <c r="C163" s="3610"/>
      <c r="D163" s="3610"/>
      <c r="E163" s="3610"/>
      <c r="F163" s="3610"/>
      <c r="G163" s="3610"/>
      <c r="H163" s="3610"/>
      <c r="I163" s="3610"/>
      <c r="J163" s="3610"/>
      <c r="K163" s="3610"/>
      <c r="L163" s="3610"/>
      <c r="M163" s="3610"/>
      <c r="N163" s="3610"/>
      <c r="O163" s="3610"/>
      <c r="P163" s="3610"/>
      <c r="Q163" s="3607"/>
      <c r="AA163" s="2490">
        <v>163</v>
      </c>
    </row>
    <row r="164" spans="1:27" ht="11.25" customHeight="1">
      <c r="AA164" s="2490">
        <v>164</v>
      </c>
    </row>
    <row r="165" spans="1:27" ht="11.25" customHeight="1">
      <c r="A165" s="1936"/>
      <c r="AA165" s="2490">
        <v>165</v>
      </c>
    </row>
    <row r="166" spans="1:27" ht="17.100000000000001" customHeight="1">
      <c r="A166" s="1940" t="s">
        <v>2075</v>
      </c>
      <c r="B166" s="1940" t="s">
        <v>2425</v>
      </c>
      <c r="C166" s="1940"/>
      <c r="D166" s="1939"/>
      <c r="E166" s="1939"/>
      <c r="F166" s="1939"/>
      <c r="G166" s="1939"/>
      <c r="H166" s="1939"/>
      <c r="I166" s="1939"/>
      <c r="J166" s="1939"/>
      <c r="K166" s="1939"/>
      <c r="L166" s="1939"/>
      <c r="M166" s="1939"/>
      <c r="O166" s="1935" t="s">
        <v>1726</v>
      </c>
      <c r="P166" s="3608"/>
      <c r="Q166" s="3612"/>
      <c r="AA166" s="2490">
        <v>166</v>
      </c>
    </row>
    <row r="167" spans="1:27" ht="15" customHeight="1">
      <c r="A167" s="1946" t="s">
        <v>1836</v>
      </c>
      <c r="B167" s="1932" t="s">
        <v>4096</v>
      </c>
      <c r="G167" s="1936"/>
      <c r="J167" s="1936"/>
      <c r="K167" s="1936"/>
      <c r="L167" s="1936"/>
      <c r="M167" s="1936"/>
      <c r="N167" s="1936"/>
      <c r="O167" s="1942"/>
      <c r="P167" s="1936"/>
      <c r="Q167" s="1936"/>
      <c r="AA167" s="2490">
        <v>167</v>
      </c>
    </row>
    <row r="168" spans="1:27" ht="29.45" customHeight="1">
      <c r="B168" s="3690" t="s">
        <v>5002</v>
      </c>
      <c r="C168" s="3690"/>
      <c r="D168" s="3690"/>
      <c r="E168" s="3690"/>
      <c r="F168" s="3690"/>
      <c r="G168" s="3690"/>
      <c r="H168" s="3690"/>
      <c r="I168" s="3690"/>
      <c r="J168" s="3690"/>
      <c r="K168" s="3690"/>
      <c r="L168" s="3690"/>
      <c r="M168" s="3690"/>
      <c r="N168" s="3690"/>
      <c r="O168" s="3691"/>
      <c r="P168" s="3692"/>
      <c r="Q168" s="3693"/>
      <c r="AA168" s="2490">
        <v>168</v>
      </c>
    </row>
    <row r="169" spans="1:27" ht="17.100000000000001" customHeight="1">
      <c r="A169" s="1946" t="s">
        <v>1838</v>
      </c>
      <c r="B169" s="1932" t="s">
        <v>297</v>
      </c>
      <c r="G169" s="1936"/>
      <c r="H169" s="3694" t="s">
        <v>3250</v>
      </c>
      <c r="I169" s="3694"/>
      <c r="J169" s="3694"/>
      <c r="K169" s="3694"/>
      <c r="L169" s="3694"/>
      <c r="M169" s="3694"/>
      <c r="N169" s="3694"/>
      <c r="O169" s="3694"/>
      <c r="P169" s="3695"/>
      <c r="Q169" s="3695"/>
      <c r="AA169" s="2490">
        <v>169</v>
      </c>
    </row>
    <row r="170" spans="1:27" ht="15" customHeight="1">
      <c r="B170" s="1953" t="s">
        <v>3157</v>
      </c>
      <c r="M170" s="1934"/>
      <c r="N170" s="1934"/>
      <c r="O170" s="1978"/>
      <c r="P170" s="1931"/>
      <c r="AA170" s="2490">
        <v>170</v>
      </c>
    </row>
    <row r="171" spans="1:27" ht="17.100000000000001" customHeight="1">
      <c r="A171" s="3605"/>
      <c r="B171" s="3605"/>
      <c r="C171" s="3605"/>
      <c r="D171" s="3605"/>
      <c r="E171" s="3605"/>
      <c r="F171" s="3605"/>
      <c r="G171" s="3605"/>
      <c r="H171" s="3605"/>
      <c r="I171" s="3605"/>
      <c r="J171" s="3605"/>
      <c r="K171" s="3605"/>
      <c r="L171" s="3605"/>
      <c r="M171" s="3605"/>
      <c r="N171" s="3605"/>
      <c r="O171" s="3605"/>
      <c r="P171" s="3605"/>
      <c r="Q171" s="3639"/>
      <c r="AA171" s="2491">
        <v>171</v>
      </c>
    </row>
    <row r="172" spans="1:27" ht="15" customHeight="1">
      <c r="B172" s="1937" t="s">
        <v>1725</v>
      </c>
      <c r="C172" s="1938"/>
      <c r="D172" s="1939"/>
      <c r="E172" s="1939"/>
      <c r="F172" s="1939"/>
      <c r="G172" s="1939"/>
      <c r="H172" s="1939"/>
      <c r="I172" s="1939"/>
      <c r="J172" s="1939"/>
      <c r="K172" s="1939"/>
      <c r="L172" s="1939"/>
      <c r="M172" s="1939"/>
      <c r="N172" s="1939"/>
      <c r="O172" s="1939"/>
      <c r="P172" s="1939"/>
      <c r="Q172" s="1939"/>
      <c r="AA172" s="2490">
        <v>172</v>
      </c>
    </row>
    <row r="173" spans="1:27" ht="17.100000000000001" customHeight="1">
      <c r="A173" s="3610"/>
      <c r="B173" s="3610"/>
      <c r="C173" s="3610"/>
      <c r="D173" s="3610"/>
      <c r="E173" s="3610"/>
      <c r="F173" s="3610"/>
      <c r="G173" s="3610"/>
      <c r="H173" s="3610"/>
      <c r="I173" s="3610"/>
      <c r="J173" s="3610"/>
      <c r="K173" s="3610"/>
      <c r="L173" s="3610"/>
      <c r="M173" s="3610"/>
      <c r="N173" s="3610"/>
      <c r="O173" s="3610"/>
      <c r="P173" s="3610"/>
      <c r="Q173" s="3611"/>
      <c r="AA173" s="2490">
        <v>173</v>
      </c>
    </row>
    <row r="174" spans="1:27" ht="11.25" customHeight="1">
      <c r="F174" s="1931"/>
      <c r="G174" s="1931"/>
      <c r="H174" s="1931"/>
      <c r="I174" s="1931"/>
      <c r="J174" s="1941"/>
      <c r="K174" s="1941"/>
      <c r="L174" s="1941"/>
      <c r="M174" s="1934"/>
      <c r="N174" s="1931"/>
      <c r="O174" s="1931"/>
      <c r="P174" s="1978"/>
      <c r="AA174" s="2490">
        <v>174</v>
      </c>
    </row>
    <row r="175" spans="1:27" ht="11.25" customHeight="1">
      <c r="A175" s="1936"/>
      <c r="F175" s="1931"/>
      <c r="G175" s="1931"/>
      <c r="H175" s="1931"/>
      <c r="I175" s="1931"/>
      <c r="J175" s="1941"/>
      <c r="K175" s="1941"/>
      <c r="L175" s="1941"/>
      <c r="M175" s="1934"/>
      <c r="N175" s="1931"/>
      <c r="O175" s="1931"/>
      <c r="P175" s="1978"/>
      <c r="AA175" s="2490">
        <v>175</v>
      </c>
    </row>
    <row r="176" spans="1:27" ht="17.100000000000001" customHeight="1">
      <c r="A176" s="1940" t="s">
        <v>3283</v>
      </c>
      <c r="B176" s="1940" t="s">
        <v>2426</v>
      </c>
      <c r="C176" s="1979"/>
      <c r="D176" s="1979"/>
      <c r="E176" s="1939"/>
      <c r="F176" s="1939"/>
      <c r="G176" s="1939"/>
      <c r="H176" s="1939"/>
      <c r="I176" s="1939"/>
      <c r="J176" s="1939"/>
      <c r="K176" s="1939"/>
      <c r="L176" s="1939"/>
      <c r="M176" s="1939"/>
      <c r="O176" s="1935" t="s">
        <v>1726</v>
      </c>
      <c r="P176" s="3636"/>
      <c r="Q176" s="3696"/>
      <c r="AA176" s="2490">
        <v>176</v>
      </c>
    </row>
    <row r="177" spans="1:27" ht="15" customHeight="1">
      <c r="A177" s="1936"/>
      <c r="B177" s="1933" t="s">
        <v>4680</v>
      </c>
      <c r="C177" s="1936"/>
      <c r="D177" s="1936"/>
      <c r="E177" s="1936"/>
      <c r="F177" s="1936"/>
      <c r="G177" s="1936"/>
      <c r="H177" s="1936"/>
      <c r="I177" s="1936"/>
      <c r="J177" s="1936"/>
      <c r="K177" s="1936"/>
      <c r="L177" s="1936"/>
      <c r="M177" s="1936"/>
      <c r="N177" s="1934"/>
      <c r="O177" s="1936"/>
      <c r="P177" s="3669"/>
      <c r="Q177" s="3704"/>
      <c r="AA177" s="2490">
        <v>177</v>
      </c>
    </row>
    <row r="178" spans="1:27" ht="30.6" customHeight="1">
      <c r="A178" s="1936"/>
      <c r="B178" s="3613" t="s">
        <v>5003</v>
      </c>
      <c r="C178" s="3613"/>
      <c r="D178" s="3613"/>
      <c r="E178" s="3613"/>
      <c r="F178" s="3613"/>
      <c r="G178" s="3613"/>
      <c r="H178" s="3613"/>
      <c r="I178" s="3613"/>
      <c r="J178" s="3613"/>
      <c r="K178" s="3613"/>
      <c r="L178" s="3613"/>
      <c r="M178" s="3613"/>
      <c r="N178" s="3613"/>
      <c r="O178" s="3613"/>
      <c r="P178" s="3699"/>
      <c r="Q178" s="3705"/>
      <c r="AA178" s="2490">
        <v>178</v>
      </c>
    </row>
    <row r="179" spans="1:27" ht="15">
      <c r="A179" s="1946" t="s">
        <v>1836</v>
      </c>
      <c r="B179" s="1940" t="s">
        <v>5021</v>
      </c>
      <c r="C179" s="1939"/>
      <c r="D179" s="1939"/>
      <c r="E179" s="1939"/>
      <c r="F179" s="1939"/>
      <c r="G179" s="1939"/>
      <c r="H179" s="1939"/>
      <c r="I179" s="1939"/>
      <c r="J179" s="1939"/>
      <c r="K179" s="1936"/>
      <c r="L179" s="2084"/>
      <c r="M179" s="1983"/>
      <c r="N179" s="2083"/>
      <c r="O179" s="1942"/>
      <c r="P179" s="1942"/>
      <c r="Q179" s="1942"/>
      <c r="AA179" s="2490">
        <v>179</v>
      </c>
    </row>
    <row r="180" spans="1:27" ht="45" customHeight="1">
      <c r="A180" s="1936"/>
      <c r="B180" s="3690" t="s">
        <v>5037</v>
      </c>
      <c r="C180" s="3690"/>
      <c r="D180" s="3690"/>
      <c r="E180" s="3690"/>
      <c r="F180" s="3690"/>
      <c r="G180" s="3690"/>
      <c r="H180" s="3690"/>
      <c r="I180" s="3690"/>
      <c r="J180" s="3690"/>
      <c r="K180" s="3690"/>
      <c r="L180" s="3690"/>
      <c r="M180" s="3690"/>
      <c r="N180" s="3690"/>
      <c r="O180" s="3690"/>
      <c r="P180" s="1942"/>
      <c r="Q180" s="1942"/>
      <c r="AA180" s="2491">
        <v>180</v>
      </c>
    </row>
    <row r="181" spans="1:27" ht="28.5" customHeight="1">
      <c r="A181" s="1936"/>
      <c r="B181" s="1936"/>
      <c r="C181" s="1967"/>
      <c r="D181" s="3690" t="s">
        <v>5038</v>
      </c>
      <c r="E181" s="3690"/>
      <c r="F181" s="3690"/>
      <c r="G181" s="3690"/>
      <c r="H181" s="3690"/>
      <c r="I181" s="3690"/>
      <c r="J181" s="3690"/>
      <c r="K181" s="3690"/>
      <c r="L181" s="3690"/>
      <c r="M181" s="3690"/>
      <c r="N181" s="3690"/>
      <c r="O181" s="3690"/>
      <c r="P181" s="3707">
        <f>'Part VIII Scoring Criteria'!O105</f>
        <v>8</v>
      </c>
      <c r="Q181" s="3708"/>
      <c r="AA181" s="2491"/>
    </row>
    <row r="182" spans="1:27" ht="12" customHeight="1">
      <c r="A182" s="1936"/>
      <c r="C182" s="1936"/>
      <c r="D182" s="1936"/>
      <c r="E182" s="1936"/>
      <c r="F182" s="1936"/>
      <c r="G182" s="1936"/>
      <c r="H182" s="1936"/>
      <c r="I182" s="1936"/>
      <c r="J182" s="1936"/>
      <c r="K182" s="1936"/>
      <c r="L182" s="3706" t="s">
        <v>4681</v>
      </c>
      <c r="M182" s="3706"/>
      <c r="N182" s="1934"/>
      <c r="O182" s="1936"/>
      <c r="P182" s="1975"/>
      <c r="Q182" s="1931"/>
      <c r="AA182" s="2490">
        <v>181</v>
      </c>
    </row>
    <row r="183" spans="1:27" ht="17.100000000000001" customHeight="1">
      <c r="A183" s="1946" t="s">
        <v>1838</v>
      </c>
      <c r="B183" s="1940" t="s">
        <v>4797</v>
      </c>
      <c r="D183" s="1980"/>
      <c r="E183" s="1980"/>
      <c r="F183" s="1980"/>
      <c r="G183" s="1980"/>
      <c r="H183" s="1980"/>
      <c r="I183" s="1980"/>
      <c r="J183" s="1980"/>
      <c r="K183" s="1980"/>
      <c r="L183" s="1933" t="s">
        <v>4682</v>
      </c>
      <c r="M183" s="1934" t="s">
        <v>4683</v>
      </c>
      <c r="N183" s="1980"/>
      <c r="O183" s="1942"/>
      <c r="P183" s="1942"/>
      <c r="Q183" s="1942"/>
      <c r="AA183" s="2490">
        <v>182</v>
      </c>
    </row>
    <row r="184" spans="1:27" ht="15" customHeight="1">
      <c r="A184" s="1946"/>
      <c r="B184" s="1933" t="s">
        <v>4684</v>
      </c>
      <c r="C184" s="1936"/>
      <c r="D184" s="1949"/>
      <c r="E184" s="1949"/>
      <c r="F184" s="1949"/>
      <c r="G184" s="1949"/>
      <c r="H184" s="1936"/>
      <c r="K184" s="1981"/>
      <c r="L184" s="1982">
        <f>ROUNDUP('Part V-Revenues &amp; Expenses'!$P$67*M184,0)</f>
        <v>4</v>
      </c>
      <c r="M184" s="1983">
        <f>'DCA Underwriting Assumptions'!$Q$147</f>
        <v>0.05</v>
      </c>
      <c r="N184" s="2083" t="s">
        <v>4798</v>
      </c>
      <c r="O184" s="1942"/>
      <c r="P184" s="3669"/>
      <c r="Q184" s="3704"/>
      <c r="AA184" s="2490">
        <v>183</v>
      </c>
    </row>
    <row r="185" spans="1:27" ht="15" customHeight="1">
      <c r="A185" s="1946"/>
      <c r="B185" s="1941"/>
      <c r="D185" s="3613" t="s">
        <v>4799</v>
      </c>
      <c r="E185" s="3613"/>
      <c r="F185" s="3613"/>
      <c r="G185" s="3613"/>
      <c r="H185" s="3613"/>
      <c r="I185" s="3613"/>
      <c r="J185" s="3613"/>
      <c r="K185" s="1981"/>
      <c r="L185" s="1984">
        <f>ROUNDUP(L184*M185,0)</f>
        <v>2</v>
      </c>
      <c r="M185" s="1983">
        <f>'DCA Underwriting Assumptions'!$Q$148</f>
        <v>0.4</v>
      </c>
      <c r="N185" s="2083" t="s">
        <v>4800</v>
      </c>
      <c r="O185" s="1942"/>
      <c r="P185" s="3697"/>
      <c r="Q185" s="3698"/>
      <c r="AA185" s="2490">
        <v>184</v>
      </c>
    </row>
    <row r="186" spans="1:27" ht="15" customHeight="1">
      <c r="A186" s="1946"/>
      <c r="B186" s="3613" t="s">
        <v>4685</v>
      </c>
      <c r="C186" s="3613"/>
      <c r="D186" s="3613"/>
      <c r="E186" s="3613"/>
      <c r="F186" s="3613"/>
      <c r="G186" s="3613"/>
      <c r="H186" s="3613"/>
      <c r="I186" s="3613"/>
      <c r="J186" s="3613"/>
      <c r="K186" s="1936"/>
      <c r="L186" s="1985">
        <f>ROUNDUP('Part V-Revenues &amp; Expenses'!$P$67*M186,0)</f>
        <v>2</v>
      </c>
      <c r="M186" s="1983">
        <f>'DCA Underwriting Assumptions'!$Q$149</f>
        <v>0.02</v>
      </c>
      <c r="N186" s="2083" t="s">
        <v>4798</v>
      </c>
      <c r="O186" s="1942"/>
      <c r="P186" s="3699"/>
      <c r="Q186" s="3700"/>
      <c r="AA186" s="2490">
        <v>185</v>
      </c>
    </row>
    <row r="187" spans="1:27" ht="15" customHeight="1">
      <c r="A187" s="1946" t="s">
        <v>697</v>
      </c>
      <c r="B187" s="1940" t="s">
        <v>4801</v>
      </c>
      <c r="C187" s="1939"/>
      <c r="D187" s="1939"/>
      <c r="E187" s="1939"/>
      <c r="F187" s="1939"/>
      <c r="G187" s="1939"/>
      <c r="H187" s="1939"/>
      <c r="I187" s="1939"/>
      <c r="J187" s="1939"/>
      <c r="K187" s="1936"/>
      <c r="L187" s="2084"/>
      <c r="M187" s="1983"/>
      <c r="N187" s="2083"/>
      <c r="O187" s="1942"/>
      <c r="P187" s="1942"/>
      <c r="Q187" s="1942"/>
      <c r="AA187" s="2490">
        <v>186</v>
      </c>
    </row>
    <row r="188" spans="1:27" ht="15.6" customHeight="1">
      <c r="A188" s="1946"/>
      <c r="B188" s="1933" t="s">
        <v>4804</v>
      </c>
      <c r="G188" s="1936"/>
      <c r="M188" s="3701"/>
      <c r="N188" s="3702"/>
      <c r="O188" s="3702"/>
      <c r="P188" s="3702"/>
      <c r="Q188" s="3703"/>
      <c r="AA188" s="2490">
        <v>187</v>
      </c>
    </row>
    <row r="189" spans="1:27" ht="15.6" customHeight="1">
      <c r="A189" s="1946"/>
      <c r="C189" s="1936"/>
      <c r="D189" s="1933" t="s">
        <v>4802</v>
      </c>
      <c r="O189" s="1942"/>
      <c r="P189" s="1961"/>
      <c r="Q189" s="1954"/>
      <c r="R189" s="1942"/>
      <c r="AA189" s="2490">
        <v>188</v>
      </c>
    </row>
    <row r="190" spans="1:27" ht="15.6" customHeight="1">
      <c r="A190" s="1946"/>
      <c r="C190" s="1936"/>
      <c r="D190" s="1933" t="s">
        <v>4803</v>
      </c>
      <c r="O190" s="1942"/>
      <c r="P190" s="1958"/>
      <c r="Q190" s="1959"/>
      <c r="R190" s="1942"/>
      <c r="AA190" s="2491">
        <v>189</v>
      </c>
    </row>
    <row r="191" spans="1:27" ht="15" customHeight="1">
      <c r="B191" s="1953" t="s">
        <v>3157</v>
      </c>
      <c r="D191" s="1953"/>
      <c r="E191" s="1953"/>
      <c r="F191" s="1953"/>
      <c r="G191" s="1953"/>
      <c r="H191" s="1941"/>
      <c r="I191" s="1934"/>
      <c r="J191" s="1934"/>
      <c r="K191" s="1934"/>
      <c r="L191" s="1931"/>
      <c r="M191" s="1931"/>
      <c r="N191" s="1931"/>
      <c r="O191" s="1931"/>
      <c r="P191" s="1931"/>
      <c r="Q191" s="1931"/>
      <c r="AA191" s="2490">
        <v>190</v>
      </c>
    </row>
    <row r="192" spans="1:27" ht="17.100000000000001" customHeight="1">
      <c r="A192" s="3605"/>
      <c r="B192" s="3605"/>
      <c r="C192" s="3605"/>
      <c r="D192" s="3605"/>
      <c r="E192" s="3605"/>
      <c r="F192" s="3605"/>
      <c r="G192" s="3605"/>
      <c r="H192" s="3605"/>
      <c r="I192" s="3605"/>
      <c r="J192" s="3605"/>
      <c r="K192" s="3605"/>
      <c r="L192" s="3605"/>
      <c r="M192" s="3605"/>
      <c r="N192" s="3605"/>
      <c r="O192" s="3605"/>
      <c r="P192" s="3605"/>
      <c r="Q192" s="3606"/>
      <c r="AA192" s="2490">
        <v>191</v>
      </c>
    </row>
    <row r="193" spans="1:27" ht="15" customHeight="1">
      <c r="B193" s="1937" t="s">
        <v>1725</v>
      </c>
      <c r="C193" s="1938"/>
      <c r="D193" s="1939"/>
      <c r="E193" s="1939"/>
      <c r="F193" s="1939"/>
      <c r="G193" s="1939"/>
      <c r="H193" s="1939"/>
      <c r="I193" s="1939"/>
      <c r="J193" s="1939"/>
      <c r="K193" s="1939"/>
      <c r="L193" s="1939"/>
      <c r="M193" s="1939"/>
      <c r="N193" s="1939"/>
      <c r="O193" s="1939"/>
      <c r="P193" s="1939"/>
      <c r="Q193" s="1939"/>
      <c r="AA193" s="2490">
        <v>192</v>
      </c>
    </row>
    <row r="194" spans="1:27" ht="17.100000000000001" customHeight="1">
      <c r="A194" s="3610"/>
      <c r="B194" s="3610"/>
      <c r="C194" s="3610"/>
      <c r="D194" s="3610"/>
      <c r="E194" s="3610"/>
      <c r="F194" s="3610"/>
      <c r="G194" s="3610"/>
      <c r="H194" s="3610"/>
      <c r="I194" s="3610"/>
      <c r="J194" s="3610"/>
      <c r="K194" s="3610"/>
      <c r="L194" s="3610"/>
      <c r="M194" s="3610"/>
      <c r="N194" s="3610"/>
      <c r="O194" s="3610"/>
      <c r="P194" s="3610"/>
      <c r="Q194" s="3611"/>
      <c r="AA194" s="2490">
        <v>193</v>
      </c>
    </row>
    <row r="195" spans="1:27" ht="11.25" customHeight="1">
      <c r="A195" s="1939"/>
      <c r="B195" s="1939"/>
      <c r="C195" s="1939"/>
      <c r="D195" s="1939"/>
      <c r="E195" s="1939"/>
      <c r="F195" s="1939"/>
      <c r="G195" s="1939"/>
      <c r="H195" s="1939"/>
      <c r="I195" s="1939"/>
      <c r="J195" s="1939"/>
      <c r="K195" s="1939"/>
      <c r="L195" s="1939"/>
      <c r="M195" s="1939"/>
      <c r="N195" s="1939"/>
      <c r="O195" s="1939"/>
      <c r="P195" s="1939"/>
      <c r="Q195" s="1939"/>
      <c r="AA195" s="2490">
        <v>194</v>
      </c>
    </row>
    <row r="196" spans="1:27" ht="11.25" customHeight="1">
      <c r="A196" s="1936"/>
      <c r="B196" s="1939"/>
      <c r="C196" s="1939"/>
      <c r="D196" s="1939"/>
      <c r="E196" s="1939"/>
      <c r="F196" s="1939"/>
      <c r="G196" s="1939"/>
      <c r="H196" s="1939"/>
      <c r="I196" s="1939"/>
      <c r="J196" s="1939"/>
      <c r="K196" s="1939"/>
      <c r="L196" s="1939"/>
      <c r="M196" s="1939"/>
      <c r="N196" s="1939"/>
      <c r="O196" s="1939"/>
      <c r="P196" s="2056"/>
      <c r="Q196" s="2056"/>
      <c r="AA196" s="2490">
        <v>195</v>
      </c>
    </row>
    <row r="197" spans="1:27" ht="20.25" customHeight="1">
      <c r="A197" s="1940" t="s">
        <v>3284</v>
      </c>
      <c r="B197" s="1932" t="s">
        <v>2427</v>
      </c>
      <c r="C197" s="1932"/>
      <c r="D197" s="1932"/>
      <c r="E197" s="1932"/>
      <c r="F197" s="1932"/>
      <c r="G197" s="1932"/>
      <c r="H197" s="1939"/>
      <c r="I197" s="1939"/>
      <c r="J197" s="1939"/>
      <c r="K197" s="1939"/>
      <c r="L197" s="1939"/>
      <c r="M197" s="1939"/>
      <c r="O197" s="1935" t="s">
        <v>1726</v>
      </c>
      <c r="P197" s="3608"/>
      <c r="Q197" s="3609"/>
      <c r="AA197" s="2490">
        <v>196</v>
      </c>
    </row>
    <row r="198" spans="1:27" ht="15" customHeight="1">
      <c r="B198" s="1933" t="s">
        <v>4680</v>
      </c>
      <c r="P198" s="3669"/>
      <c r="Q198" s="3704"/>
      <c r="AA198" s="2490">
        <v>197</v>
      </c>
    </row>
    <row r="199" spans="1:27" ht="28.5" customHeight="1">
      <c r="B199" s="3613" t="s">
        <v>5004</v>
      </c>
      <c r="C199" s="3613"/>
      <c r="D199" s="3613"/>
      <c r="E199" s="3613"/>
      <c r="F199" s="3613"/>
      <c r="G199" s="3613"/>
      <c r="H199" s="3613"/>
      <c r="I199" s="3613"/>
      <c r="J199" s="3613"/>
      <c r="K199" s="3613"/>
      <c r="L199" s="3613"/>
      <c r="M199" s="3613"/>
      <c r="N199" s="3613"/>
      <c r="P199" s="3699"/>
      <c r="Q199" s="3700"/>
      <c r="AA199" s="2491">
        <v>198</v>
      </c>
    </row>
    <row r="200" spans="1:27" ht="20.25" customHeight="1">
      <c r="A200" s="1946" t="s">
        <v>1836</v>
      </c>
      <c r="B200" s="1932" t="s">
        <v>432</v>
      </c>
      <c r="D200" s="1932"/>
      <c r="E200" s="1932"/>
      <c r="F200" s="1932"/>
      <c r="G200" s="1932"/>
      <c r="H200" s="1932"/>
      <c r="I200" s="1932"/>
      <c r="J200" s="1932"/>
      <c r="K200" s="1932"/>
      <c r="L200" s="1932"/>
      <c r="M200" s="1932"/>
      <c r="O200" s="1942"/>
      <c r="P200" s="1931"/>
      <c r="Q200" s="1931"/>
      <c r="AA200" s="2490">
        <v>199</v>
      </c>
    </row>
    <row r="201" spans="1:27" ht="59.25" customHeight="1">
      <c r="B201" s="1969" t="s">
        <v>1611</v>
      </c>
      <c r="C201" s="3690" t="s">
        <v>4736</v>
      </c>
      <c r="D201" s="3690"/>
      <c r="E201" s="3690"/>
      <c r="F201" s="3615" t="s">
        <v>2141</v>
      </c>
      <c r="G201" s="3616"/>
      <c r="H201" s="3616"/>
      <c r="I201" s="3616"/>
      <c r="J201" s="3616"/>
      <c r="K201" s="3616"/>
      <c r="L201" s="3616"/>
      <c r="M201" s="3616"/>
      <c r="N201" s="3616"/>
      <c r="O201" s="3616"/>
      <c r="P201" s="3616"/>
      <c r="Q201" s="3617"/>
      <c r="AA201" s="2490">
        <v>200</v>
      </c>
    </row>
    <row r="202" spans="1:27" ht="30" customHeight="1">
      <c r="B202" s="1969" t="s">
        <v>1612</v>
      </c>
      <c r="C202" s="3690" t="s">
        <v>4737</v>
      </c>
      <c r="D202" s="3690"/>
      <c r="E202" s="3690"/>
      <c r="F202" s="3690"/>
      <c r="G202" s="3691"/>
      <c r="H202" s="3615" t="s">
        <v>1017</v>
      </c>
      <c r="I202" s="3616"/>
      <c r="J202" s="3616"/>
      <c r="K202" s="3616"/>
      <c r="L202" s="3616"/>
      <c r="M202" s="3616"/>
      <c r="N202" s="3616"/>
      <c r="O202" s="3616"/>
      <c r="P202" s="3616"/>
      <c r="Q202" s="3617"/>
      <c r="AA202" s="2490">
        <v>201</v>
      </c>
    </row>
    <row r="203" spans="1:27" ht="20.25" customHeight="1">
      <c r="A203" s="1946"/>
      <c r="B203" s="1969" t="s">
        <v>1613</v>
      </c>
      <c r="C203" s="3613" t="s">
        <v>4686</v>
      </c>
      <c r="D203" s="3613"/>
      <c r="E203" s="3613"/>
      <c r="F203" s="3613"/>
      <c r="G203" s="3613"/>
      <c r="H203" s="3613"/>
      <c r="I203" s="3613"/>
      <c r="J203" s="3613"/>
      <c r="K203" s="3613"/>
      <c r="L203" s="3613"/>
      <c r="M203" s="3613"/>
      <c r="N203" s="3613"/>
      <c r="O203" s="3613"/>
      <c r="P203" s="3613"/>
      <c r="Q203" s="3613"/>
      <c r="AA203" s="2490">
        <v>202</v>
      </c>
    </row>
    <row r="204" spans="1:27" ht="15.6" customHeight="1">
      <c r="A204" s="1946"/>
      <c r="B204" s="1942"/>
      <c r="C204" s="3671"/>
      <c r="D204" s="3671"/>
      <c r="E204" s="3671"/>
      <c r="F204" s="3671"/>
      <c r="G204" s="3671"/>
      <c r="H204" s="3671"/>
      <c r="I204" s="3671"/>
      <c r="J204" s="3671"/>
      <c r="K204" s="3671"/>
      <c r="L204" s="3671"/>
      <c r="M204" s="3671"/>
      <c r="N204" s="3671"/>
      <c r="O204" s="3671"/>
      <c r="P204" s="3671"/>
      <c r="Q204" s="3709"/>
      <c r="AA204" s="2490">
        <v>203</v>
      </c>
    </row>
    <row r="205" spans="1:27" ht="15.6" customHeight="1">
      <c r="A205" s="1946"/>
      <c r="B205" s="1942"/>
      <c r="C205" s="3675"/>
      <c r="D205" s="3675"/>
      <c r="E205" s="3675"/>
      <c r="F205" s="3675"/>
      <c r="G205" s="3675"/>
      <c r="H205" s="3675"/>
      <c r="I205" s="3675"/>
      <c r="J205" s="3675"/>
      <c r="K205" s="3675"/>
      <c r="L205" s="3675"/>
      <c r="M205" s="3675"/>
      <c r="N205" s="3675"/>
      <c r="O205" s="3675"/>
      <c r="P205" s="3675"/>
      <c r="Q205" s="3710"/>
      <c r="AA205" s="2490">
        <v>204</v>
      </c>
    </row>
    <row r="206" spans="1:27" ht="15" customHeight="1">
      <c r="B206" s="1953" t="s">
        <v>3157</v>
      </c>
      <c r="D206" s="1953"/>
      <c r="E206" s="1953"/>
      <c r="F206" s="1953"/>
      <c r="G206" s="1953"/>
      <c r="H206" s="1941"/>
      <c r="I206" s="1934"/>
      <c r="J206" s="1934"/>
      <c r="K206" s="1934"/>
      <c r="L206" s="1931"/>
      <c r="M206" s="1931"/>
      <c r="N206" s="1931"/>
      <c r="O206" s="1931"/>
      <c r="P206" s="1931"/>
      <c r="Q206" s="1931"/>
      <c r="AA206" s="2490">
        <v>205</v>
      </c>
    </row>
    <row r="207" spans="1:27" ht="20.25" customHeight="1">
      <c r="A207" s="3605"/>
      <c r="B207" s="3605"/>
      <c r="C207" s="3605"/>
      <c r="D207" s="3605"/>
      <c r="E207" s="3605"/>
      <c r="F207" s="3605"/>
      <c r="G207" s="3605"/>
      <c r="H207" s="3605"/>
      <c r="I207" s="3605"/>
      <c r="J207" s="3605"/>
      <c r="K207" s="3605"/>
      <c r="L207" s="3605"/>
      <c r="M207" s="3605"/>
      <c r="N207" s="3605"/>
      <c r="O207" s="3605"/>
      <c r="P207" s="3605"/>
      <c r="Q207" s="3606"/>
      <c r="AA207" s="2490">
        <v>206</v>
      </c>
    </row>
    <row r="208" spans="1:27" ht="15" customHeight="1">
      <c r="B208" s="1937" t="s">
        <v>1725</v>
      </c>
      <c r="C208" s="1938"/>
      <c r="D208" s="1939"/>
      <c r="E208" s="1939"/>
      <c r="F208" s="1939"/>
      <c r="G208" s="1939"/>
      <c r="H208" s="1939"/>
      <c r="I208" s="1939"/>
      <c r="J208" s="1939"/>
      <c r="K208" s="1939"/>
      <c r="L208" s="1939"/>
      <c r="M208" s="1939"/>
      <c r="N208" s="1939"/>
      <c r="O208" s="1939"/>
      <c r="P208" s="1939"/>
      <c r="Q208" s="1939"/>
      <c r="AA208" s="2491">
        <v>207</v>
      </c>
    </row>
    <row r="209" spans="1:27" ht="20.25" customHeight="1">
      <c r="A209" s="3610"/>
      <c r="B209" s="3610"/>
      <c r="C209" s="3610"/>
      <c r="D209" s="3610"/>
      <c r="E209" s="3610"/>
      <c r="F209" s="3610"/>
      <c r="G209" s="3610"/>
      <c r="H209" s="3610"/>
      <c r="I209" s="3610"/>
      <c r="J209" s="3610"/>
      <c r="K209" s="3610"/>
      <c r="L209" s="3610"/>
      <c r="M209" s="3610"/>
      <c r="N209" s="3610"/>
      <c r="O209" s="3610"/>
      <c r="P209" s="3610"/>
      <c r="Q209" s="3611"/>
      <c r="AA209" s="2490">
        <v>208</v>
      </c>
    </row>
    <row r="210" spans="1:27" ht="11.25" customHeight="1">
      <c r="A210" s="1939"/>
      <c r="B210" s="1939"/>
      <c r="C210" s="1939"/>
      <c r="D210" s="1939"/>
      <c r="E210" s="1939"/>
      <c r="F210" s="1939"/>
      <c r="G210" s="1939"/>
      <c r="H210" s="1939"/>
      <c r="I210" s="1939"/>
      <c r="J210" s="1939"/>
      <c r="K210" s="1939"/>
      <c r="L210" s="1939"/>
      <c r="M210" s="1939"/>
      <c r="N210" s="1939"/>
      <c r="O210" s="1939"/>
      <c r="P210" s="1986"/>
      <c r="Q210" s="1986"/>
      <c r="AA210" s="2490">
        <v>209</v>
      </c>
    </row>
    <row r="211" spans="1:27" ht="11.25" customHeight="1">
      <c r="A211" s="1936"/>
      <c r="B211" s="1939"/>
      <c r="C211" s="1939"/>
      <c r="D211" s="1939"/>
      <c r="E211" s="1939"/>
      <c r="F211" s="1939"/>
      <c r="G211" s="1939"/>
      <c r="H211" s="1939"/>
      <c r="I211" s="1939"/>
      <c r="J211" s="1939"/>
      <c r="K211" s="1939"/>
      <c r="L211" s="1939"/>
      <c r="M211" s="1939"/>
      <c r="N211" s="1939"/>
      <c r="O211" s="1939"/>
      <c r="P211" s="2056"/>
      <c r="Q211" s="2056"/>
      <c r="AA211" s="2490">
        <v>210</v>
      </c>
    </row>
    <row r="212" spans="1:27" ht="20.25" customHeight="1">
      <c r="A212" s="1940" t="s">
        <v>3282</v>
      </c>
      <c r="B212" s="1940" t="s">
        <v>4805</v>
      </c>
      <c r="C212" s="1940"/>
      <c r="D212" s="1939"/>
      <c r="E212" s="1939"/>
      <c r="F212" s="1939"/>
      <c r="G212" s="1939"/>
      <c r="H212" s="1939"/>
      <c r="N212" s="1960"/>
      <c r="O212" s="1935" t="s">
        <v>1726</v>
      </c>
      <c r="P212" s="3636"/>
      <c r="Q212" s="3696"/>
      <c r="AA212" s="2490">
        <v>211</v>
      </c>
    </row>
    <row r="213" spans="1:27" ht="15" customHeight="1">
      <c r="A213" s="1946"/>
      <c r="B213" s="1933" t="s">
        <v>4795</v>
      </c>
      <c r="O213" s="1942"/>
      <c r="P213" s="3714" t="s">
        <v>1641</v>
      </c>
      <c r="Q213" s="3715"/>
      <c r="AA213" s="2490">
        <v>212</v>
      </c>
    </row>
    <row r="214" spans="1:27" ht="15" customHeight="1">
      <c r="A214" s="1946"/>
      <c r="B214" s="1933" t="s">
        <v>4806</v>
      </c>
      <c r="O214" s="1942"/>
      <c r="P214" s="3716" t="s">
        <v>1641</v>
      </c>
      <c r="Q214" s="3717"/>
      <c r="AA214" s="2490">
        <v>213</v>
      </c>
    </row>
    <row r="215" spans="1:27" ht="15" customHeight="1">
      <c r="A215" s="1946"/>
      <c r="B215" s="1933" t="s">
        <v>4807</v>
      </c>
      <c r="C215" s="1936"/>
      <c r="K215" s="1934"/>
      <c r="M215" s="1942"/>
      <c r="O215" s="1987"/>
      <c r="P215" s="3716" t="s">
        <v>1641</v>
      </c>
      <c r="Q215" s="3717"/>
      <c r="AA215" s="2490">
        <v>214</v>
      </c>
    </row>
    <row r="216" spans="1:27" ht="29.45" customHeight="1">
      <c r="A216" s="1946"/>
      <c r="B216" s="3613" t="s">
        <v>4808</v>
      </c>
      <c r="C216" s="3613"/>
      <c r="D216" s="3613"/>
      <c r="E216" s="3613"/>
      <c r="F216" s="3613"/>
      <c r="G216" s="3613"/>
      <c r="H216" s="3613"/>
      <c r="I216" s="3613"/>
      <c r="J216" s="3613"/>
      <c r="K216" s="3613"/>
      <c r="L216" s="3613"/>
      <c r="M216" s="3613"/>
      <c r="N216" s="3613"/>
      <c r="O216" s="3613"/>
      <c r="P216" s="3718" t="s">
        <v>1641</v>
      </c>
      <c r="Q216" s="3719"/>
      <c r="AA216" s="2490">
        <v>215</v>
      </c>
    </row>
    <row r="217" spans="1:27" ht="15.6" customHeight="1">
      <c r="A217" s="1946"/>
      <c r="B217" s="1933" t="s">
        <v>4809</v>
      </c>
      <c r="M217" s="1936"/>
      <c r="N217" s="1936"/>
      <c r="O217" s="3711"/>
      <c r="P217" s="3712"/>
      <c r="Q217" s="3713"/>
      <c r="AA217" s="2491">
        <v>216</v>
      </c>
    </row>
    <row r="218" spans="1:27" ht="15.6" customHeight="1">
      <c r="A218" s="1946"/>
      <c r="B218" s="1932" t="s">
        <v>4687</v>
      </c>
      <c r="G218" s="3608"/>
      <c r="H218" s="3644"/>
      <c r="I218" s="3644"/>
      <c r="J218" s="3644"/>
      <c r="K218" s="3644"/>
      <c r="L218" s="3645"/>
      <c r="M218" s="1936"/>
      <c r="N218" s="1936"/>
      <c r="O218" s="1936"/>
      <c r="P218" s="1936"/>
      <c r="Q218" s="1936"/>
      <c r="AA218" s="2490">
        <v>217</v>
      </c>
    </row>
    <row r="219" spans="1:27" ht="15" customHeight="1">
      <c r="B219" s="1953" t="s">
        <v>3157</v>
      </c>
      <c r="D219" s="1953"/>
      <c r="E219" s="1953"/>
      <c r="F219" s="1953"/>
      <c r="G219" s="1953"/>
      <c r="H219" s="1941"/>
      <c r="I219" s="1934"/>
      <c r="J219" s="1934"/>
      <c r="K219" s="1934"/>
      <c r="L219" s="1931"/>
      <c r="M219" s="1931"/>
      <c r="N219" s="1931"/>
      <c r="O219" s="1931"/>
      <c r="P219" s="1931"/>
      <c r="Q219" s="1931"/>
      <c r="AA219" s="2490">
        <v>218</v>
      </c>
    </row>
    <row r="220" spans="1:27" ht="20.25" customHeight="1">
      <c r="A220" s="3624"/>
      <c r="B220" s="3627"/>
      <c r="C220" s="3627"/>
      <c r="D220" s="3627"/>
      <c r="E220" s="3627"/>
      <c r="F220" s="3627"/>
      <c r="G220" s="3627"/>
      <c r="H220" s="3627"/>
      <c r="I220" s="3627"/>
      <c r="J220" s="3627"/>
      <c r="K220" s="3627"/>
      <c r="L220" s="3627"/>
      <c r="M220" s="3627"/>
      <c r="N220" s="3627"/>
      <c r="O220" s="3627"/>
      <c r="P220" s="3627"/>
      <c r="Q220" s="3628"/>
      <c r="AA220" s="2490">
        <v>219</v>
      </c>
    </row>
    <row r="221" spans="1:27" ht="15" customHeight="1">
      <c r="B221" s="1937" t="s">
        <v>1725</v>
      </c>
      <c r="C221" s="1938"/>
      <c r="D221" s="1939"/>
      <c r="E221" s="1939"/>
      <c r="F221" s="1939"/>
      <c r="G221" s="1939"/>
      <c r="H221" s="1939"/>
      <c r="I221" s="1939"/>
      <c r="J221" s="1939"/>
      <c r="K221" s="1939"/>
      <c r="L221" s="1939"/>
      <c r="M221" s="1939"/>
      <c r="N221" s="1939"/>
      <c r="O221" s="1936"/>
      <c r="P221" s="1939"/>
      <c r="Q221" s="1939"/>
      <c r="AA221" s="2490">
        <v>220</v>
      </c>
    </row>
    <row r="222" spans="1:27" ht="20.25" customHeight="1">
      <c r="A222" s="3629"/>
      <c r="B222" s="3630"/>
      <c r="C222" s="3630"/>
      <c r="D222" s="3630"/>
      <c r="E222" s="3630"/>
      <c r="F222" s="3630"/>
      <c r="G222" s="3630"/>
      <c r="H222" s="3630"/>
      <c r="I222" s="3630"/>
      <c r="J222" s="3630"/>
      <c r="K222" s="3630"/>
      <c r="L222" s="3630"/>
      <c r="M222" s="3630"/>
      <c r="N222" s="3630"/>
      <c r="O222" s="3630"/>
      <c r="P222" s="3630"/>
      <c r="Q222" s="3631"/>
      <c r="AA222" s="2490">
        <v>221</v>
      </c>
    </row>
    <row r="223" spans="1:27" ht="11.25" customHeight="1">
      <c r="A223" s="1931"/>
      <c r="B223" s="1934"/>
      <c r="C223" s="1939"/>
      <c r="D223" s="1939"/>
      <c r="E223" s="1939"/>
      <c r="F223" s="1939"/>
      <c r="G223" s="1939"/>
      <c r="H223" s="1939"/>
      <c r="I223" s="1939"/>
      <c r="J223" s="1939"/>
      <c r="K223" s="1939"/>
      <c r="L223" s="1939"/>
      <c r="M223" s="1939"/>
      <c r="N223" s="1939"/>
      <c r="O223" s="1939"/>
      <c r="P223" s="1939"/>
      <c r="Q223" s="1931"/>
      <c r="AA223" s="2490">
        <v>222</v>
      </c>
    </row>
    <row r="224" spans="1:27" ht="11.25" customHeight="1">
      <c r="A224" s="1936"/>
      <c r="B224" s="1934"/>
      <c r="C224" s="1939"/>
      <c r="D224" s="1939"/>
      <c r="E224" s="1939"/>
      <c r="F224" s="1939"/>
      <c r="G224" s="1939"/>
      <c r="H224" s="1939"/>
      <c r="I224" s="1939"/>
      <c r="J224" s="1939"/>
      <c r="K224" s="1939"/>
      <c r="L224" s="1939"/>
      <c r="M224" s="1939"/>
      <c r="N224" s="1939"/>
      <c r="O224" s="1939"/>
      <c r="P224" s="1939"/>
      <c r="Q224" s="1931"/>
      <c r="AA224" s="2490">
        <v>223</v>
      </c>
    </row>
    <row r="225" spans="1:28" ht="20.25" customHeight="1">
      <c r="A225" s="1940" t="s">
        <v>3285</v>
      </c>
      <c r="B225" s="1932" t="s">
        <v>4435</v>
      </c>
      <c r="C225" s="1932"/>
      <c r="D225" s="1932"/>
      <c r="E225" s="1932"/>
      <c r="F225" s="1932"/>
      <c r="G225" s="1932"/>
      <c r="H225" s="1939"/>
      <c r="I225" s="1939"/>
      <c r="J225" s="1939"/>
      <c r="K225" s="1939"/>
      <c r="L225" s="1939"/>
      <c r="M225" s="1939"/>
      <c r="N225" s="1988"/>
      <c r="O225" s="1935" t="s">
        <v>1726</v>
      </c>
      <c r="P225" s="3608"/>
      <c r="Q225" s="3609"/>
      <c r="AA225" s="2490">
        <v>224</v>
      </c>
    </row>
    <row r="226" spans="1:28" ht="33.75" customHeight="1">
      <c r="A226" s="1940"/>
      <c r="B226" s="3613" t="s">
        <v>4688</v>
      </c>
      <c r="C226" s="3613"/>
      <c r="D226" s="3613"/>
      <c r="E226" s="3613"/>
      <c r="F226" s="3613"/>
      <c r="G226" s="3613"/>
      <c r="H226" s="3613"/>
      <c r="I226" s="3613"/>
      <c r="J226" s="3613"/>
      <c r="K226" s="3613"/>
      <c r="L226" s="3613"/>
      <c r="M226" s="3613"/>
      <c r="N226" s="3613"/>
      <c r="O226" s="3614"/>
      <c r="P226" s="3622"/>
      <c r="Q226" s="3623"/>
      <c r="AA226" s="2491">
        <v>225</v>
      </c>
    </row>
    <row r="227" spans="1:28" s="1989" customFormat="1" ht="15">
      <c r="A227" s="1962" t="s">
        <v>1836</v>
      </c>
      <c r="B227" s="2085" t="s">
        <v>4811</v>
      </c>
      <c r="C227" s="2085"/>
      <c r="D227" s="2085"/>
      <c r="E227" s="2085"/>
      <c r="F227" s="2085"/>
      <c r="G227" s="2085"/>
      <c r="H227" s="2085"/>
      <c r="I227" s="2085"/>
      <c r="J227" s="2085"/>
      <c r="K227" s="2085"/>
      <c r="L227" s="2085"/>
      <c r="M227" s="2085"/>
      <c r="N227" s="2085"/>
      <c r="O227" s="2085"/>
      <c r="P227" s="2085"/>
      <c r="Q227" s="2085"/>
      <c r="R227" s="2085"/>
      <c r="S227" s="2054"/>
      <c r="T227" s="2054"/>
      <c r="U227" s="2054"/>
      <c r="V227" s="2054"/>
      <c r="W227" s="2054"/>
      <c r="X227" s="2054"/>
      <c r="Y227" s="2054"/>
      <c r="Z227" s="2054"/>
      <c r="AA227" s="2490">
        <v>226</v>
      </c>
      <c r="AB227" s="2054"/>
    </row>
    <row r="228" spans="1:28" s="1989" customFormat="1" ht="30.75" customHeight="1">
      <c r="A228" s="1962"/>
      <c r="C228" s="1965" t="s">
        <v>4810</v>
      </c>
      <c r="D228" s="2058"/>
      <c r="E228" s="2058"/>
      <c r="G228" s="3690" t="s">
        <v>5005</v>
      </c>
      <c r="H228" s="3690"/>
      <c r="I228" s="3690"/>
      <c r="J228" s="3690"/>
      <c r="K228" s="3690"/>
      <c r="L228" s="3690"/>
      <c r="M228" s="3690"/>
      <c r="N228" s="3690"/>
      <c r="O228" s="3691"/>
      <c r="P228" s="2086"/>
      <c r="Q228" s="1954"/>
      <c r="R228" s="2054"/>
      <c r="S228" s="2054"/>
      <c r="T228" s="2054"/>
      <c r="U228" s="2054"/>
      <c r="V228" s="2054"/>
      <c r="W228" s="2054"/>
      <c r="X228" s="2054"/>
      <c r="Y228" s="2054"/>
      <c r="Z228" s="2054"/>
      <c r="AA228" s="2490">
        <v>227</v>
      </c>
      <c r="AB228" s="2054"/>
    </row>
    <row r="229" spans="1:28" s="1989" customFormat="1" ht="30.75" customHeight="1">
      <c r="A229" s="1962"/>
      <c r="C229" s="3690" t="s">
        <v>4812</v>
      </c>
      <c r="D229" s="3690"/>
      <c r="E229" s="3690"/>
      <c r="F229" s="3690"/>
      <c r="G229" s="3690" t="s">
        <v>5006</v>
      </c>
      <c r="H229" s="3690"/>
      <c r="I229" s="3690"/>
      <c r="J229" s="3690"/>
      <c r="K229" s="3690"/>
      <c r="L229" s="3690"/>
      <c r="M229" s="3690"/>
      <c r="N229" s="3690"/>
      <c r="O229" s="3691"/>
      <c r="P229" s="2087"/>
      <c r="Q229" s="1959"/>
      <c r="R229" s="2054"/>
      <c r="S229" s="2054"/>
      <c r="T229" s="2054"/>
      <c r="U229" s="2054"/>
      <c r="V229" s="2054"/>
      <c r="W229" s="2054"/>
      <c r="X229" s="2054"/>
      <c r="Y229" s="2054"/>
      <c r="Z229" s="2054"/>
      <c r="AA229" s="2490">
        <v>228</v>
      </c>
      <c r="AB229" s="2054"/>
    </row>
    <row r="230" spans="1:28" ht="44.25" customHeight="1">
      <c r="A230" s="1962" t="s">
        <v>1838</v>
      </c>
      <c r="B230" s="3690" t="s">
        <v>4813</v>
      </c>
      <c r="C230" s="3690"/>
      <c r="D230" s="3690"/>
      <c r="E230" s="3690"/>
      <c r="F230" s="3690"/>
      <c r="G230" s="3690"/>
      <c r="H230" s="3690"/>
      <c r="I230" s="3690"/>
      <c r="J230" s="3690"/>
      <c r="K230" s="3690"/>
      <c r="L230" s="3690"/>
      <c r="M230" s="3690"/>
      <c r="N230" s="3690"/>
      <c r="O230" s="3690"/>
      <c r="P230" s="2090"/>
      <c r="Q230" s="2089"/>
      <c r="AA230" s="2490">
        <v>229</v>
      </c>
    </row>
    <row r="231" spans="1:28" ht="20.25" customHeight="1">
      <c r="A231" s="1946" t="s">
        <v>697</v>
      </c>
      <c r="B231" s="1933" t="s">
        <v>4814</v>
      </c>
      <c r="G231" s="1933" t="s">
        <v>4815</v>
      </c>
      <c r="P231" s="2090"/>
      <c r="Q231" s="2089"/>
      <c r="AA231" s="2490">
        <v>230</v>
      </c>
    </row>
    <row r="232" spans="1:28" ht="45" customHeight="1">
      <c r="A232" s="1962" t="s">
        <v>1957</v>
      </c>
      <c r="B232" s="3690" t="s">
        <v>4689</v>
      </c>
      <c r="C232" s="3690"/>
      <c r="D232" s="3690"/>
      <c r="E232" s="3690"/>
      <c r="F232" s="3690"/>
      <c r="G232" s="3690"/>
      <c r="H232" s="3690"/>
      <c r="I232" s="3690"/>
      <c r="J232" s="3690"/>
      <c r="K232" s="3690"/>
      <c r="L232" s="3690"/>
      <c r="M232" s="3690"/>
      <c r="N232" s="3690"/>
      <c r="O232" s="3690"/>
      <c r="P232" s="2090"/>
      <c r="Q232" s="2089"/>
      <c r="AA232" s="2490">
        <v>231</v>
      </c>
    </row>
    <row r="233" spans="1:28" ht="15" customHeight="1">
      <c r="B233" s="1953" t="s">
        <v>3157</v>
      </c>
      <c r="D233" s="1953"/>
      <c r="E233" s="1953"/>
      <c r="F233" s="1953"/>
      <c r="G233" s="1953"/>
      <c r="H233" s="1941"/>
      <c r="I233" s="1934"/>
      <c r="J233" s="1934"/>
      <c r="K233" s="1934"/>
      <c r="L233" s="1931"/>
      <c r="M233" s="1931"/>
      <c r="N233" s="1931"/>
      <c r="O233" s="1931"/>
      <c r="P233" s="1931"/>
      <c r="Q233" s="1931"/>
      <c r="AA233" s="2490">
        <v>232</v>
      </c>
    </row>
    <row r="234" spans="1:28" ht="20.25" customHeight="1">
      <c r="A234" s="3624"/>
      <c r="B234" s="3625"/>
      <c r="C234" s="3625"/>
      <c r="D234" s="3625"/>
      <c r="E234" s="3625"/>
      <c r="F234" s="3625"/>
      <c r="G234" s="3625"/>
      <c r="H234" s="3625"/>
      <c r="I234" s="3625"/>
      <c r="J234" s="3625"/>
      <c r="K234" s="3625"/>
      <c r="L234" s="3625"/>
      <c r="M234" s="3625"/>
      <c r="N234" s="3625"/>
      <c r="O234" s="3625"/>
      <c r="P234" s="3625"/>
      <c r="Q234" s="3626"/>
      <c r="AA234" s="2490">
        <v>233</v>
      </c>
    </row>
    <row r="235" spans="1:28" ht="15" customHeight="1">
      <c r="B235" s="1937" t="s">
        <v>1725</v>
      </c>
      <c r="C235" s="1938"/>
      <c r="D235" s="1939"/>
      <c r="E235" s="1939"/>
      <c r="F235" s="1939"/>
      <c r="G235" s="1939"/>
      <c r="H235" s="1939"/>
      <c r="I235" s="1939"/>
      <c r="J235" s="1939"/>
      <c r="K235" s="1939"/>
      <c r="L235" s="1939"/>
      <c r="M235" s="1939"/>
      <c r="N235" s="1939"/>
      <c r="O235" s="1939"/>
      <c r="P235" s="1939"/>
      <c r="Q235" s="1939"/>
      <c r="AA235" s="2491">
        <v>234</v>
      </c>
    </row>
    <row r="236" spans="1:28" ht="20.25" customHeight="1">
      <c r="A236" s="3629"/>
      <c r="B236" s="3720"/>
      <c r="C236" s="3720"/>
      <c r="D236" s="3720"/>
      <c r="E236" s="3720"/>
      <c r="F236" s="3720"/>
      <c r="G236" s="3720"/>
      <c r="H236" s="3720"/>
      <c r="I236" s="3720"/>
      <c r="J236" s="3720"/>
      <c r="K236" s="3720"/>
      <c r="L236" s="3720"/>
      <c r="M236" s="3720"/>
      <c r="N236" s="3720"/>
      <c r="O236" s="3720"/>
      <c r="P236" s="3720"/>
      <c r="Q236" s="3721"/>
      <c r="AA236" s="2490">
        <v>235</v>
      </c>
    </row>
    <row r="237" spans="1:28" ht="11.25" customHeight="1">
      <c r="A237" s="1931"/>
      <c r="B237" s="1934"/>
      <c r="C237" s="1939"/>
      <c r="D237" s="1939"/>
      <c r="E237" s="1939"/>
      <c r="F237" s="1939"/>
      <c r="G237" s="1939"/>
      <c r="H237" s="1939"/>
      <c r="I237" s="1939"/>
      <c r="J237" s="1939"/>
      <c r="K237" s="1939"/>
      <c r="L237" s="1939"/>
      <c r="M237" s="1939"/>
      <c r="N237" s="1939"/>
      <c r="O237" s="1939"/>
      <c r="P237" s="1939"/>
      <c r="Q237" s="1931"/>
      <c r="AA237" s="2490">
        <v>236</v>
      </c>
    </row>
    <row r="238" spans="1:28" ht="11.25" customHeight="1">
      <c r="A238" s="1940"/>
      <c r="B238" s="1934"/>
      <c r="C238" s="1939"/>
      <c r="D238" s="1939"/>
      <c r="E238" s="1939"/>
      <c r="F238" s="1939"/>
      <c r="G238" s="1939"/>
      <c r="H238" s="1939"/>
      <c r="I238" s="1939"/>
      <c r="J238" s="1939"/>
      <c r="K238" s="1939"/>
      <c r="L238" s="1939"/>
      <c r="M238" s="1939"/>
      <c r="N238" s="1939"/>
      <c r="O238" s="1939"/>
      <c r="P238" s="1939"/>
      <c r="Q238" s="1931"/>
      <c r="AA238" s="2490">
        <v>237</v>
      </c>
    </row>
    <row r="239" spans="1:28" ht="20.25" customHeight="1">
      <c r="A239" s="1940" t="s">
        <v>3286</v>
      </c>
      <c r="B239" s="1932" t="s">
        <v>3271</v>
      </c>
      <c r="C239" s="1932"/>
      <c r="D239" s="1932"/>
      <c r="E239" s="1932"/>
      <c r="F239" s="1932"/>
      <c r="G239" s="1932"/>
      <c r="H239" s="1939"/>
      <c r="I239" s="1939"/>
      <c r="J239" s="1939"/>
      <c r="K239" s="1939"/>
      <c r="L239" s="1939"/>
      <c r="M239" s="1939"/>
      <c r="N239" s="1990"/>
      <c r="O239" s="1935" t="s">
        <v>1726</v>
      </c>
      <c r="P239" s="3608"/>
      <c r="Q239" s="3645"/>
      <c r="AA239" s="2490">
        <v>238</v>
      </c>
    </row>
    <row r="240" spans="1:28" ht="20.25" customHeight="1">
      <c r="A240" s="1946"/>
      <c r="B240" s="3722" t="s">
        <v>3272</v>
      </c>
      <c r="C240" s="3722"/>
      <c r="D240" s="3722"/>
      <c r="E240" s="3722"/>
      <c r="F240" s="3723"/>
      <c r="G240" s="3724"/>
      <c r="H240" s="3725"/>
      <c r="I240" s="3725"/>
      <c r="J240" s="3725"/>
      <c r="K240" s="3725"/>
      <c r="L240" s="3725"/>
      <c r="M240" s="3725"/>
      <c r="N240" s="3725"/>
      <c r="O240" s="3725"/>
      <c r="P240" s="3725"/>
      <c r="Q240" s="3726"/>
      <c r="AA240" s="2490">
        <v>239</v>
      </c>
    </row>
    <row r="241" spans="1:27" ht="20.25" customHeight="1" thickBot="1">
      <c r="A241" s="1946"/>
      <c r="B241" s="3722" t="s">
        <v>3273</v>
      </c>
      <c r="C241" s="3722"/>
      <c r="D241" s="3722"/>
      <c r="E241" s="3722"/>
      <c r="F241" s="3723"/>
      <c r="G241" s="3727"/>
      <c r="H241" s="3728"/>
      <c r="I241" s="3728"/>
      <c r="J241" s="3728"/>
      <c r="K241" s="3728"/>
      <c r="L241" s="3728"/>
      <c r="M241" s="3728"/>
      <c r="N241" s="3728"/>
      <c r="O241" s="3728"/>
      <c r="P241" s="3729"/>
      <c r="Q241" s="3730"/>
      <c r="AA241" s="2490">
        <v>240</v>
      </c>
    </row>
    <row r="242" spans="1:27" ht="30" customHeight="1" thickBot="1">
      <c r="A242" s="1946"/>
      <c r="B242" s="3690" t="s">
        <v>5007</v>
      </c>
      <c r="C242" s="3690"/>
      <c r="D242" s="3690"/>
      <c r="E242" s="3690"/>
      <c r="F242" s="3690"/>
      <c r="G242" s="3690"/>
      <c r="H242" s="3690"/>
      <c r="I242" s="3690"/>
      <c r="J242" s="3690"/>
      <c r="K242" s="3690"/>
      <c r="L242" s="3690"/>
      <c r="M242" s="3690"/>
      <c r="N242" s="3690"/>
      <c r="O242" s="3738"/>
      <c r="P242" s="3739"/>
      <c r="Q242" s="3740"/>
      <c r="AA242" s="2490">
        <v>241</v>
      </c>
    </row>
    <row r="243" spans="1:27" ht="20.25" customHeight="1">
      <c r="B243" s="1953" t="s">
        <v>3157</v>
      </c>
      <c r="D243" s="1953"/>
      <c r="E243" s="1953"/>
      <c r="F243" s="1953"/>
      <c r="G243" s="1953"/>
      <c r="H243" s="1941"/>
      <c r="I243" s="1934"/>
      <c r="J243" s="1934"/>
      <c r="K243" s="1934"/>
      <c r="L243" s="1931"/>
      <c r="M243" s="1931"/>
      <c r="N243" s="1931"/>
      <c r="O243" s="1931"/>
      <c r="P243" s="1931"/>
      <c r="Q243" s="1931"/>
      <c r="AA243" s="2490">
        <v>242</v>
      </c>
    </row>
    <row r="244" spans="1:27" ht="20.25" customHeight="1">
      <c r="A244" s="3605"/>
      <c r="B244" s="3732"/>
      <c r="C244" s="3732"/>
      <c r="D244" s="3732"/>
      <c r="E244" s="3732"/>
      <c r="F244" s="3732"/>
      <c r="G244" s="3732"/>
      <c r="H244" s="3732"/>
      <c r="I244" s="3732"/>
      <c r="J244" s="3732"/>
      <c r="K244" s="3732"/>
      <c r="L244" s="3732"/>
      <c r="M244" s="3732"/>
      <c r="N244" s="3732"/>
      <c r="O244" s="3732"/>
      <c r="P244" s="3732"/>
      <c r="Q244" s="3735"/>
      <c r="AA244" s="2491">
        <v>243</v>
      </c>
    </row>
    <row r="245" spans="1:27" ht="20.25" customHeight="1">
      <c r="B245" s="1937" t="s">
        <v>1725</v>
      </c>
      <c r="C245" s="1938"/>
      <c r="D245" s="1939"/>
      <c r="E245" s="1939"/>
      <c r="F245" s="1939"/>
      <c r="G245" s="1939"/>
      <c r="H245" s="1939"/>
      <c r="I245" s="1939"/>
      <c r="J245" s="1939"/>
      <c r="K245" s="1939"/>
      <c r="L245" s="1939"/>
      <c r="M245" s="1939"/>
      <c r="N245" s="1939"/>
      <c r="O245" s="1939"/>
      <c r="P245" s="1939"/>
      <c r="Q245" s="1939"/>
      <c r="AA245" s="2490">
        <v>244</v>
      </c>
    </row>
    <row r="246" spans="1:27" ht="20.25" customHeight="1">
      <c r="A246" s="3610"/>
      <c r="B246" s="3736"/>
      <c r="C246" s="3736"/>
      <c r="D246" s="3736"/>
      <c r="E246" s="3736"/>
      <c r="F246" s="3736"/>
      <c r="G246" s="3736"/>
      <c r="H246" s="3736"/>
      <c r="I246" s="3736"/>
      <c r="J246" s="3736"/>
      <c r="K246" s="3736"/>
      <c r="L246" s="3736"/>
      <c r="M246" s="3736"/>
      <c r="N246" s="3736"/>
      <c r="O246" s="3736"/>
      <c r="P246" s="3736"/>
      <c r="Q246" s="3737"/>
      <c r="AA246" s="2490">
        <v>245</v>
      </c>
    </row>
    <row r="247" spans="1:27" ht="11.1" customHeight="1">
      <c r="A247" s="1931"/>
      <c r="B247" s="1934"/>
      <c r="C247" s="1939"/>
      <c r="D247" s="1939"/>
      <c r="E247" s="1939"/>
      <c r="F247" s="1939"/>
      <c r="G247" s="1939"/>
      <c r="H247" s="1939"/>
      <c r="I247" s="1939"/>
      <c r="J247" s="1939"/>
      <c r="K247" s="1939"/>
      <c r="L247" s="1939"/>
      <c r="M247" s="1939"/>
      <c r="Q247" s="1931"/>
      <c r="AA247" s="2490">
        <v>246</v>
      </c>
    </row>
    <row r="248" spans="1:27" ht="11.1" customHeight="1">
      <c r="A248" s="1936"/>
      <c r="B248" s="1934"/>
      <c r="C248" s="1939"/>
      <c r="D248" s="1939"/>
      <c r="E248" s="1939"/>
      <c r="F248" s="1939"/>
      <c r="G248" s="1939"/>
      <c r="H248" s="1939"/>
      <c r="I248" s="1939"/>
      <c r="J248" s="1939"/>
      <c r="K248" s="1939"/>
      <c r="L248" s="1939"/>
      <c r="M248" s="1939"/>
      <c r="Q248" s="1931"/>
      <c r="AA248" s="2490">
        <v>247</v>
      </c>
    </row>
    <row r="249" spans="1:27" ht="20.25" customHeight="1">
      <c r="A249" s="1940" t="s">
        <v>3289</v>
      </c>
      <c r="B249" s="1932" t="s">
        <v>2428</v>
      </c>
      <c r="C249" s="1932"/>
      <c r="D249" s="1932"/>
      <c r="E249" s="1939"/>
      <c r="G249" s="1933" t="s">
        <v>654</v>
      </c>
      <c r="H249" s="1939"/>
      <c r="I249" s="1939"/>
      <c r="J249" s="1939"/>
      <c r="K249" s="1939"/>
      <c r="L249" s="1939"/>
      <c r="M249" s="1939"/>
      <c r="O249" s="1935" t="s">
        <v>1726</v>
      </c>
      <c r="P249" s="3608"/>
      <c r="Q249" s="3645"/>
      <c r="AA249" s="2490">
        <v>248</v>
      </c>
    </row>
    <row r="250" spans="1:27" ht="15.6" customHeight="1">
      <c r="A250" s="1946"/>
      <c r="B250" s="1933" t="s">
        <v>2431</v>
      </c>
      <c r="D250" s="1949"/>
      <c r="E250" s="1949"/>
      <c r="O250" s="1942"/>
      <c r="P250" s="3669"/>
      <c r="Q250" s="3670"/>
      <c r="AA250" s="2490">
        <v>249</v>
      </c>
    </row>
    <row r="251" spans="1:27" ht="15.6" customHeight="1">
      <c r="A251" s="1946"/>
      <c r="B251" s="1933" t="s">
        <v>3058</v>
      </c>
      <c r="D251" s="1949"/>
      <c r="E251" s="1949"/>
      <c r="O251" s="1942"/>
      <c r="P251" s="3697"/>
      <c r="Q251" s="3731"/>
      <c r="AA251" s="2490">
        <v>250</v>
      </c>
    </row>
    <row r="252" spans="1:27" ht="15.6" customHeight="1">
      <c r="A252" s="1946"/>
      <c r="B252" s="1933" t="s">
        <v>689</v>
      </c>
      <c r="D252" s="3605"/>
      <c r="E252" s="3732"/>
      <c r="F252" s="3732"/>
      <c r="G252" s="3732"/>
      <c r="H252" s="3732"/>
      <c r="I252" s="3732"/>
      <c r="J252" s="3732"/>
      <c r="K252" s="3732"/>
      <c r="L252" s="3732"/>
      <c r="M252" s="3732"/>
      <c r="N252" s="3732"/>
      <c r="O252" s="3732"/>
      <c r="P252" s="3733"/>
      <c r="Q252" s="3734"/>
      <c r="AA252" s="2490">
        <v>251</v>
      </c>
    </row>
    <row r="253" spans="1:27" ht="17.100000000000001" customHeight="1">
      <c r="B253" s="1953" t="s">
        <v>3157</v>
      </c>
      <c r="D253" s="1953"/>
      <c r="E253" s="1953"/>
      <c r="F253" s="1953"/>
      <c r="G253" s="1953"/>
      <c r="H253" s="1941"/>
      <c r="I253" s="1934"/>
      <c r="J253" s="1934"/>
      <c r="K253" s="1934"/>
      <c r="L253" s="1931"/>
      <c r="M253" s="1931"/>
      <c r="N253" s="1931"/>
      <c r="O253" s="1931"/>
      <c r="P253" s="1931"/>
      <c r="Q253" s="1931"/>
      <c r="AA253" s="2491">
        <v>252</v>
      </c>
    </row>
    <row r="254" spans="1:27" ht="20.25" customHeight="1">
      <c r="A254" s="3605"/>
      <c r="B254" s="3732"/>
      <c r="C254" s="3732"/>
      <c r="D254" s="3732"/>
      <c r="E254" s="3732"/>
      <c r="F254" s="3732"/>
      <c r="G254" s="3732"/>
      <c r="H254" s="3732"/>
      <c r="I254" s="3732"/>
      <c r="J254" s="3732"/>
      <c r="K254" s="3732"/>
      <c r="L254" s="3732"/>
      <c r="M254" s="3732"/>
      <c r="N254" s="3732"/>
      <c r="O254" s="3732"/>
      <c r="P254" s="3732"/>
      <c r="Q254" s="3735"/>
      <c r="AA254" s="2490">
        <v>253</v>
      </c>
    </row>
    <row r="255" spans="1:27" ht="17.100000000000001" customHeight="1">
      <c r="B255" s="1937" t="s">
        <v>1725</v>
      </c>
      <c r="C255" s="1938"/>
      <c r="D255" s="1939"/>
      <c r="E255" s="1939"/>
      <c r="F255" s="1939"/>
      <c r="G255" s="1939"/>
      <c r="H255" s="1939"/>
      <c r="I255" s="1939"/>
      <c r="J255" s="1939"/>
      <c r="K255" s="1939"/>
      <c r="L255" s="1939"/>
      <c r="M255" s="1939"/>
      <c r="N255" s="1939"/>
      <c r="O255" s="1939"/>
      <c r="P255" s="1939"/>
      <c r="Q255" s="1939"/>
      <c r="AA255" s="2490">
        <v>254</v>
      </c>
    </row>
    <row r="256" spans="1:27" ht="20.25" customHeight="1">
      <c r="A256" s="3610"/>
      <c r="B256" s="3736"/>
      <c r="C256" s="3736"/>
      <c r="D256" s="3736"/>
      <c r="E256" s="3736"/>
      <c r="F256" s="3736"/>
      <c r="G256" s="3736"/>
      <c r="H256" s="3736"/>
      <c r="I256" s="3736"/>
      <c r="J256" s="3736"/>
      <c r="K256" s="3736"/>
      <c r="L256" s="3736"/>
      <c r="M256" s="3736"/>
      <c r="N256" s="3736"/>
      <c r="O256" s="3736"/>
      <c r="P256" s="3736"/>
      <c r="Q256" s="3737"/>
      <c r="AA256" s="2490">
        <v>255</v>
      </c>
    </row>
    <row r="257" spans="1:27" ht="11.1" customHeight="1">
      <c r="A257" s="1931"/>
      <c r="B257" s="1934"/>
      <c r="C257" s="1939"/>
      <c r="D257" s="1939"/>
      <c r="E257" s="1939"/>
      <c r="F257" s="1939"/>
      <c r="G257" s="1939"/>
      <c r="H257" s="1939"/>
      <c r="I257" s="1939"/>
      <c r="J257" s="1939"/>
      <c r="K257" s="1939"/>
      <c r="L257" s="1939"/>
      <c r="M257" s="1939"/>
      <c r="N257" s="1939"/>
      <c r="O257" s="1939"/>
      <c r="P257" s="1939"/>
      <c r="Q257" s="1931"/>
      <c r="AA257" s="2490">
        <v>256</v>
      </c>
    </row>
    <row r="258" spans="1:27" ht="11.1" customHeight="1">
      <c r="A258" s="1936"/>
      <c r="B258" s="1934"/>
      <c r="C258" s="1939"/>
      <c r="D258" s="1939"/>
      <c r="E258" s="1939"/>
      <c r="F258" s="1939"/>
      <c r="G258" s="1939"/>
      <c r="H258" s="1939"/>
      <c r="I258" s="1939"/>
      <c r="J258" s="1939"/>
      <c r="K258" s="1939"/>
      <c r="L258" s="1939"/>
      <c r="M258" s="1939"/>
      <c r="N258" s="1939"/>
      <c r="O258" s="1939"/>
      <c r="P258" s="1939"/>
      <c r="Q258" s="1931"/>
      <c r="AA258" s="2490">
        <v>257</v>
      </c>
    </row>
    <row r="259" spans="1:27" ht="20.25" customHeight="1">
      <c r="A259" s="1940" t="s">
        <v>3290</v>
      </c>
      <c r="B259" s="1932" t="s">
        <v>3815</v>
      </c>
      <c r="C259" s="1932"/>
      <c r="D259" s="1932"/>
      <c r="E259" s="1932"/>
      <c r="F259" s="1932"/>
      <c r="G259" s="1932"/>
      <c r="H259" s="1939"/>
      <c r="I259" s="1939"/>
      <c r="J259" s="1939"/>
      <c r="K259" s="1939"/>
      <c r="L259" s="1939"/>
      <c r="M259" s="1939"/>
      <c r="O259" s="1935" t="s">
        <v>1726</v>
      </c>
      <c r="P259" s="3608"/>
      <c r="Q259" s="3645"/>
      <c r="AA259" s="2490">
        <v>258</v>
      </c>
    </row>
    <row r="260" spans="1:27" ht="15.6" customHeight="1">
      <c r="B260" s="1933" t="s">
        <v>4149</v>
      </c>
      <c r="O260" s="1942"/>
      <c r="P260" s="3622"/>
      <c r="Q260" s="3623"/>
      <c r="AA260" s="2490">
        <v>259</v>
      </c>
    </row>
    <row r="261" spans="1:27" ht="15.6" customHeight="1">
      <c r="A261" s="1946"/>
      <c r="B261" s="3741" t="s">
        <v>700</v>
      </c>
      <c r="C261" s="3741"/>
      <c r="D261" s="3741"/>
      <c r="E261" s="3741"/>
      <c r="F261" s="3741"/>
      <c r="G261" s="3741"/>
      <c r="H261" s="3741"/>
      <c r="I261" s="3741"/>
      <c r="J261" s="3741"/>
      <c r="K261" s="3741"/>
      <c r="L261" s="3741"/>
      <c r="M261" s="3741"/>
      <c r="N261" s="3741"/>
      <c r="O261" s="3741"/>
      <c r="P261" s="3669"/>
      <c r="Q261" s="3670"/>
      <c r="AA261" s="2490">
        <v>260</v>
      </c>
    </row>
    <row r="262" spans="1:27" ht="15.6" customHeight="1">
      <c r="B262" s="3741" t="s">
        <v>4817</v>
      </c>
      <c r="C262" s="3741"/>
      <c r="D262" s="3741"/>
      <c r="E262" s="3741"/>
      <c r="F262" s="3741"/>
      <c r="G262" s="3741"/>
      <c r="H262" s="3741"/>
      <c r="I262" s="3741"/>
      <c r="J262" s="3741"/>
      <c r="K262" s="3741"/>
      <c r="L262" s="3741"/>
      <c r="M262" s="3741"/>
      <c r="N262" s="3741"/>
      <c r="O262" s="3741"/>
      <c r="P262" s="3697"/>
      <c r="Q262" s="3731"/>
      <c r="AA262" s="2491">
        <v>261</v>
      </c>
    </row>
    <row r="263" spans="1:27" ht="27.95" customHeight="1">
      <c r="A263" s="1946"/>
      <c r="B263" s="3742" t="s">
        <v>4816</v>
      </c>
      <c r="C263" s="3742"/>
      <c r="D263" s="3742"/>
      <c r="E263" s="3742"/>
      <c r="F263" s="3742"/>
      <c r="G263" s="3742"/>
      <c r="H263" s="3742"/>
      <c r="I263" s="3742"/>
      <c r="J263" s="3742"/>
      <c r="K263" s="3742"/>
      <c r="L263" s="3742"/>
      <c r="M263" s="3742"/>
      <c r="N263" s="3742"/>
      <c r="O263" s="3742"/>
      <c r="P263" s="3699"/>
      <c r="Q263" s="3705"/>
      <c r="AA263" s="2490">
        <v>262</v>
      </c>
    </row>
    <row r="264" spans="1:27" ht="17.100000000000001" customHeight="1">
      <c r="B264" s="1953" t="s">
        <v>3157</v>
      </c>
      <c r="D264" s="1953"/>
      <c r="E264" s="1953"/>
      <c r="F264" s="1953"/>
      <c r="G264" s="1953"/>
      <c r="H264" s="1941"/>
      <c r="I264" s="1934"/>
      <c r="J264" s="1934"/>
      <c r="K264" s="1934"/>
      <c r="AA264" s="2490">
        <v>263</v>
      </c>
    </row>
    <row r="265" spans="1:27" ht="20.25" customHeight="1">
      <c r="A265" s="3605"/>
      <c r="B265" s="3732"/>
      <c r="C265" s="3732"/>
      <c r="D265" s="3732"/>
      <c r="E265" s="3732"/>
      <c r="F265" s="3732"/>
      <c r="G265" s="3732"/>
      <c r="H265" s="3732"/>
      <c r="I265" s="3732"/>
      <c r="J265" s="3732"/>
      <c r="K265" s="3732"/>
      <c r="L265" s="3732"/>
      <c r="M265" s="3732"/>
      <c r="N265" s="3732"/>
      <c r="O265" s="3732"/>
      <c r="P265" s="3732"/>
      <c r="Q265" s="3735"/>
      <c r="AA265" s="2490">
        <v>264</v>
      </c>
    </row>
    <row r="266" spans="1:27" ht="17.100000000000001" customHeight="1">
      <c r="B266" s="1937" t="s">
        <v>1725</v>
      </c>
      <c r="C266" s="1938"/>
      <c r="D266" s="1939"/>
      <c r="E266" s="1939"/>
      <c r="F266" s="1939"/>
      <c r="G266" s="1939"/>
      <c r="H266" s="1939"/>
      <c r="I266" s="1939"/>
      <c r="J266" s="1939"/>
      <c r="K266" s="1939"/>
      <c r="L266" s="1939"/>
      <c r="M266" s="1939"/>
      <c r="N266" s="1939"/>
      <c r="O266" s="1939"/>
      <c r="P266" s="1939"/>
      <c r="Q266" s="1939"/>
      <c r="AA266" s="2490">
        <v>265</v>
      </c>
    </row>
    <row r="267" spans="1:27" ht="20.25" customHeight="1">
      <c r="A267" s="3610"/>
      <c r="B267" s="3736"/>
      <c r="C267" s="3736"/>
      <c r="D267" s="3736"/>
      <c r="E267" s="3736"/>
      <c r="F267" s="3736"/>
      <c r="G267" s="3736"/>
      <c r="H267" s="3736"/>
      <c r="I267" s="3736"/>
      <c r="J267" s="3736"/>
      <c r="K267" s="3736"/>
      <c r="L267" s="3736"/>
      <c r="M267" s="3736"/>
      <c r="N267" s="3736"/>
      <c r="O267" s="3736"/>
      <c r="P267" s="3736"/>
      <c r="Q267" s="3737"/>
      <c r="AA267" s="2490">
        <v>266</v>
      </c>
    </row>
    <row r="268" spans="1:27" ht="11.1" customHeight="1">
      <c r="A268" s="1931"/>
      <c r="B268" s="1934"/>
      <c r="C268" s="1939"/>
      <c r="D268" s="1939"/>
      <c r="E268" s="1939"/>
      <c r="F268" s="1939"/>
      <c r="G268" s="1939"/>
      <c r="H268" s="1939"/>
      <c r="I268" s="1939"/>
      <c r="J268" s="1939"/>
      <c r="K268" s="1939"/>
      <c r="L268" s="1939"/>
      <c r="M268" s="1939"/>
      <c r="Q268" s="1931"/>
      <c r="AA268" s="2490">
        <v>267</v>
      </c>
    </row>
    <row r="269" spans="1:27" ht="11.1" customHeight="1">
      <c r="A269" s="1936"/>
      <c r="B269" s="1934"/>
      <c r="C269" s="1939"/>
      <c r="D269" s="1939"/>
      <c r="E269" s="1939"/>
      <c r="F269" s="1939"/>
      <c r="G269" s="1939"/>
      <c r="H269" s="1939"/>
      <c r="I269" s="1939"/>
      <c r="J269" s="1939"/>
      <c r="K269" s="1939"/>
      <c r="L269" s="1939"/>
      <c r="M269" s="1939"/>
      <c r="Q269" s="1931"/>
      <c r="AA269" s="2490">
        <v>268</v>
      </c>
    </row>
    <row r="270" spans="1:27" ht="20.25" customHeight="1">
      <c r="A270" s="1940" t="s">
        <v>3291</v>
      </c>
      <c r="B270" s="1932" t="s">
        <v>2501</v>
      </c>
      <c r="C270" s="1932"/>
      <c r="D270" s="1932"/>
      <c r="E270" s="1939"/>
      <c r="F270" s="1939"/>
      <c r="G270" s="1939"/>
      <c r="H270" s="1939"/>
      <c r="O270" s="1935" t="s">
        <v>1726</v>
      </c>
      <c r="P270" s="3612"/>
      <c r="Q270" s="3612"/>
      <c r="AA270" s="2490">
        <v>269</v>
      </c>
    </row>
    <row r="271" spans="1:27" ht="28.5" customHeight="1">
      <c r="A271" s="1936"/>
      <c r="B271" s="3613" t="s">
        <v>5018</v>
      </c>
      <c r="C271" s="3613"/>
      <c r="D271" s="3613"/>
      <c r="E271" s="3613"/>
      <c r="F271" s="3613"/>
      <c r="G271" s="3613"/>
      <c r="H271" s="3613"/>
      <c r="I271" s="3613"/>
      <c r="J271" s="3613"/>
      <c r="K271" s="3613"/>
      <c r="L271" s="3613"/>
      <c r="M271" s="3613"/>
      <c r="N271" s="3613"/>
      <c r="O271" s="1991"/>
      <c r="P271" s="3622"/>
      <c r="Q271" s="3623"/>
      <c r="AA271" s="2491">
        <v>270</v>
      </c>
    </row>
    <row r="272" spans="1:27" ht="44.45" customHeight="1">
      <c r="A272" s="1962"/>
      <c r="B272" s="3690" t="s">
        <v>4692</v>
      </c>
      <c r="C272" s="3690"/>
      <c r="D272" s="3690"/>
      <c r="E272" s="3690"/>
      <c r="F272" s="3690"/>
      <c r="G272" s="3690"/>
      <c r="H272" s="3690"/>
      <c r="I272" s="3690"/>
      <c r="J272" s="3690"/>
      <c r="K272" s="3690"/>
      <c r="L272" s="3690"/>
      <c r="M272" s="3690"/>
      <c r="N272" s="3690"/>
      <c r="O272" s="3691"/>
      <c r="P272" s="3694"/>
      <c r="Q272" s="3694"/>
      <c r="AA272" s="2490">
        <v>271</v>
      </c>
    </row>
    <row r="273" spans="1:27" ht="17.100000000000001" customHeight="1">
      <c r="B273" s="1953" t="s">
        <v>3157</v>
      </c>
      <c r="D273" s="1953"/>
      <c r="E273" s="1953"/>
      <c r="F273" s="1953"/>
      <c r="G273" s="1953"/>
      <c r="H273" s="1941"/>
      <c r="I273" s="1934"/>
      <c r="J273" s="1934"/>
      <c r="K273" s="1934"/>
      <c r="L273" s="1931"/>
      <c r="M273" s="1931"/>
      <c r="N273" s="1931"/>
      <c r="O273" s="1931"/>
      <c r="P273" s="1931"/>
      <c r="Q273" s="1931"/>
      <c r="AA273" s="2490">
        <v>272</v>
      </c>
    </row>
    <row r="274" spans="1:27" ht="20.25" customHeight="1">
      <c r="A274" s="3605"/>
      <c r="B274" s="3732"/>
      <c r="C274" s="3732"/>
      <c r="D274" s="3732"/>
      <c r="E274" s="3732"/>
      <c r="F274" s="3732"/>
      <c r="G274" s="3732"/>
      <c r="H274" s="3732"/>
      <c r="I274" s="3732"/>
      <c r="J274" s="3732"/>
      <c r="K274" s="3732"/>
      <c r="L274" s="3732"/>
      <c r="M274" s="3732"/>
      <c r="N274" s="3732"/>
      <c r="O274" s="3732"/>
      <c r="P274" s="3732"/>
      <c r="Q274" s="3735"/>
      <c r="AA274" s="2490">
        <v>273</v>
      </c>
    </row>
    <row r="275" spans="1:27" ht="17.100000000000001" customHeight="1">
      <c r="B275" s="1937" t="s">
        <v>1725</v>
      </c>
      <c r="C275" s="1938"/>
      <c r="D275" s="1939"/>
      <c r="E275" s="1939"/>
      <c r="F275" s="1939"/>
      <c r="G275" s="1939"/>
      <c r="H275" s="1939"/>
      <c r="I275" s="1939"/>
      <c r="J275" s="1939"/>
      <c r="K275" s="1939"/>
      <c r="L275" s="1939"/>
      <c r="M275" s="1939"/>
      <c r="N275" s="1939"/>
      <c r="O275" s="1939"/>
      <c r="P275" s="1939"/>
      <c r="Q275" s="1939"/>
      <c r="AA275" s="2490">
        <v>274</v>
      </c>
    </row>
    <row r="276" spans="1:27" ht="20.25" customHeight="1">
      <c r="A276" s="3610"/>
      <c r="B276" s="3736"/>
      <c r="C276" s="3736"/>
      <c r="D276" s="3736"/>
      <c r="E276" s="3736"/>
      <c r="F276" s="3736"/>
      <c r="G276" s="3736"/>
      <c r="H276" s="3736"/>
      <c r="I276" s="3736"/>
      <c r="J276" s="3736"/>
      <c r="K276" s="3736"/>
      <c r="L276" s="3736"/>
      <c r="M276" s="3736"/>
      <c r="N276" s="3736"/>
      <c r="O276" s="3736"/>
      <c r="P276" s="3736"/>
      <c r="Q276" s="3737"/>
      <c r="AA276" s="2490">
        <v>275</v>
      </c>
    </row>
    <row r="277" spans="1:27" ht="11.45" customHeight="1">
      <c r="A277" s="1931"/>
      <c r="B277" s="1934"/>
      <c r="C277" s="1939"/>
      <c r="D277" s="1939"/>
      <c r="E277" s="1939"/>
      <c r="F277" s="1939"/>
      <c r="G277" s="1939"/>
      <c r="H277" s="1939"/>
      <c r="I277" s="1939"/>
      <c r="J277" s="1939"/>
      <c r="K277" s="1939"/>
      <c r="L277" s="1939"/>
      <c r="M277" s="1939"/>
      <c r="Q277" s="1931"/>
      <c r="AA277" s="2490">
        <v>276</v>
      </c>
    </row>
    <row r="278" spans="1:27" ht="11.45" customHeight="1">
      <c r="A278" s="1931"/>
      <c r="B278" s="1934"/>
      <c r="C278" s="1939"/>
      <c r="D278" s="1939"/>
      <c r="E278" s="1939"/>
      <c r="F278" s="1939"/>
      <c r="G278" s="1939"/>
      <c r="H278" s="1939"/>
      <c r="I278" s="1939"/>
      <c r="J278" s="1939"/>
      <c r="K278" s="1939"/>
      <c r="L278" s="1939"/>
      <c r="M278" s="1939"/>
      <c r="Q278" s="1931"/>
      <c r="AA278" s="2490">
        <v>277</v>
      </c>
    </row>
    <row r="279" spans="1:27" ht="14.25" customHeight="1">
      <c r="A279" s="1940" t="s">
        <v>3292</v>
      </c>
      <c r="B279" s="1940" t="s">
        <v>4818</v>
      </c>
      <c r="C279" s="1939"/>
      <c r="D279" s="1939"/>
      <c r="E279" s="1939"/>
      <c r="F279" s="1939"/>
      <c r="G279" s="1939"/>
      <c r="H279" s="1939"/>
      <c r="I279" s="1939"/>
      <c r="J279" s="1939"/>
      <c r="K279" s="1939"/>
      <c r="L279" s="1939"/>
      <c r="M279" s="1939"/>
      <c r="O279" s="1935" t="s">
        <v>1726</v>
      </c>
      <c r="P279" s="3612"/>
      <c r="Q279" s="3612"/>
      <c r="AA279" s="2490">
        <v>278</v>
      </c>
    </row>
    <row r="280" spans="1:27" ht="14.25" customHeight="1">
      <c r="A280" s="2088" t="s">
        <v>1836</v>
      </c>
      <c r="B280" s="1940" t="s">
        <v>4819</v>
      </c>
      <c r="C280" s="1940"/>
      <c r="D280" s="1941"/>
      <c r="E280" s="1939"/>
      <c r="F280" s="1939"/>
      <c r="G280" s="1939"/>
      <c r="H280" s="1939"/>
      <c r="I280" s="1939"/>
      <c r="J280" s="1939"/>
      <c r="K280" s="1939"/>
      <c r="L280" s="1939"/>
      <c r="M280" s="1939"/>
      <c r="Q280" s="1931"/>
      <c r="AA280" s="2491">
        <v>279</v>
      </c>
    </row>
    <row r="281" spans="1:27" ht="30" customHeight="1">
      <c r="A281" s="1941"/>
      <c r="B281" s="3690" t="s">
        <v>5008</v>
      </c>
      <c r="C281" s="3690"/>
      <c r="D281" s="3690"/>
      <c r="E281" s="3690"/>
      <c r="F281" s="3690"/>
      <c r="G281" s="3690"/>
      <c r="H281" s="3690"/>
      <c r="I281" s="3690"/>
      <c r="J281" s="3690"/>
      <c r="K281" s="3690"/>
      <c r="L281" s="3690"/>
      <c r="M281" s="3690"/>
      <c r="N281" s="3690"/>
      <c r="O281" s="3691"/>
      <c r="P281" s="3743"/>
      <c r="Q281" s="3744"/>
      <c r="AA281" s="2490">
        <v>280</v>
      </c>
    </row>
    <row r="282" spans="1:27" ht="14.25" customHeight="1">
      <c r="A282" s="2088" t="s">
        <v>1838</v>
      </c>
      <c r="B282" s="1940" t="s">
        <v>4820</v>
      </c>
      <c r="C282" s="1936"/>
      <c r="D282" s="1941"/>
      <c r="E282" s="1939"/>
      <c r="F282" s="1939"/>
      <c r="G282" s="1939"/>
      <c r="H282" s="1939"/>
      <c r="I282" s="1939"/>
      <c r="J282" s="1939"/>
      <c r="K282" s="1939"/>
      <c r="L282" s="1939"/>
      <c r="M282" s="1939"/>
      <c r="Q282" s="1931"/>
      <c r="AA282" s="2490">
        <v>281</v>
      </c>
    </row>
    <row r="283" spans="1:27" ht="29.25" customHeight="1">
      <c r="A283" s="1941"/>
      <c r="B283" s="3690" t="s">
        <v>5015</v>
      </c>
      <c r="C283" s="3690"/>
      <c r="D283" s="3690"/>
      <c r="E283" s="3690"/>
      <c r="F283" s="3690"/>
      <c r="G283" s="3690"/>
      <c r="H283" s="3690"/>
      <c r="I283" s="3690"/>
      <c r="J283" s="3690"/>
      <c r="K283" s="3690"/>
      <c r="L283" s="3690"/>
      <c r="M283" s="3690"/>
      <c r="N283" s="3690"/>
      <c r="O283" s="3691"/>
      <c r="P283" s="3743"/>
      <c r="Q283" s="3744"/>
      <c r="AA283" s="2490">
        <v>282</v>
      </c>
    </row>
    <row r="284" spans="1:27" ht="20.25" customHeight="1">
      <c r="A284" s="1940"/>
      <c r="B284" s="1953" t="s">
        <v>3157</v>
      </c>
      <c r="D284" s="1953"/>
      <c r="E284" s="1953"/>
      <c r="F284" s="1953"/>
      <c r="G284" s="1953"/>
      <c r="H284" s="1941"/>
      <c r="I284" s="1934"/>
      <c r="J284" s="1934"/>
      <c r="K284" s="1934"/>
      <c r="L284" s="1931"/>
      <c r="M284" s="1931"/>
      <c r="N284" s="1931"/>
      <c r="O284" s="1931"/>
      <c r="P284" s="1931"/>
      <c r="Q284" s="1931"/>
      <c r="AA284" s="2490">
        <v>283</v>
      </c>
    </row>
    <row r="285" spans="1:27" ht="20.25" customHeight="1">
      <c r="A285" s="3605"/>
      <c r="B285" s="3732"/>
      <c r="C285" s="3732"/>
      <c r="D285" s="3732"/>
      <c r="E285" s="3732"/>
      <c r="F285" s="3732"/>
      <c r="G285" s="3732"/>
      <c r="H285" s="3732"/>
      <c r="I285" s="3732"/>
      <c r="J285" s="3732"/>
      <c r="K285" s="3732"/>
      <c r="L285" s="3732"/>
      <c r="M285" s="3732"/>
      <c r="N285" s="3732"/>
      <c r="O285" s="3732"/>
      <c r="P285" s="3732"/>
      <c r="Q285" s="3735"/>
      <c r="AA285" s="2490">
        <v>284</v>
      </c>
    </row>
    <row r="286" spans="1:27" ht="20.25" customHeight="1">
      <c r="B286" s="1937" t="s">
        <v>1725</v>
      </c>
      <c r="C286" s="1938"/>
      <c r="D286" s="1939"/>
      <c r="E286" s="1939"/>
      <c r="F286" s="1939"/>
      <c r="G286" s="1939"/>
      <c r="H286" s="1939"/>
      <c r="I286" s="1939"/>
      <c r="J286" s="1939"/>
      <c r="K286" s="1939"/>
      <c r="L286" s="1939"/>
      <c r="M286" s="1939"/>
      <c r="N286" s="1939"/>
      <c r="O286" s="1939"/>
      <c r="P286" s="1939"/>
      <c r="Q286" s="1939"/>
      <c r="AA286" s="2490">
        <v>285</v>
      </c>
    </row>
    <row r="287" spans="1:27" ht="20.25" customHeight="1">
      <c r="A287" s="3610"/>
      <c r="B287" s="3736"/>
      <c r="C287" s="3736"/>
      <c r="D287" s="3736"/>
      <c r="E287" s="3736"/>
      <c r="F287" s="3736"/>
      <c r="G287" s="3736"/>
      <c r="H287" s="3736"/>
      <c r="I287" s="3736"/>
      <c r="J287" s="3736"/>
      <c r="K287" s="3736"/>
      <c r="L287" s="3736"/>
      <c r="M287" s="3736"/>
      <c r="N287" s="3736"/>
      <c r="O287" s="3736"/>
      <c r="P287" s="3736"/>
      <c r="Q287" s="3737"/>
      <c r="AA287" s="2490">
        <v>286</v>
      </c>
    </row>
    <row r="288" spans="1:27" ht="14.25" customHeight="1">
      <c r="A288" s="1940"/>
      <c r="B288" s="1934"/>
      <c r="C288" s="1939"/>
      <c r="D288" s="1939"/>
      <c r="E288" s="1939"/>
      <c r="F288" s="1939"/>
      <c r="G288" s="1939"/>
      <c r="H288" s="1939"/>
      <c r="I288" s="1939"/>
      <c r="J288" s="1939"/>
      <c r="K288" s="1939"/>
      <c r="L288" s="1939"/>
      <c r="M288" s="1939"/>
      <c r="Q288" s="1931"/>
      <c r="AA288" s="2490">
        <v>287</v>
      </c>
    </row>
    <row r="289" spans="1:27" ht="14.25" customHeight="1">
      <c r="A289" s="1940"/>
      <c r="B289" s="1934"/>
      <c r="C289" s="1939"/>
      <c r="D289" s="1939"/>
      <c r="E289" s="1939"/>
      <c r="F289" s="1939"/>
      <c r="G289" s="1939"/>
      <c r="H289" s="1939"/>
      <c r="I289" s="1939"/>
      <c r="J289" s="1939"/>
      <c r="K289" s="1939"/>
      <c r="L289" s="1939"/>
      <c r="M289" s="1939"/>
      <c r="Q289" s="1931"/>
      <c r="AA289" s="2491">
        <v>288</v>
      </c>
    </row>
    <row r="290" spans="1:27" ht="14.25" customHeight="1">
      <c r="A290" s="1940" t="s">
        <v>3293</v>
      </c>
      <c r="B290" s="1940" t="s">
        <v>4821</v>
      </c>
      <c r="C290" s="1939"/>
      <c r="D290" s="1939"/>
      <c r="E290" s="1939"/>
      <c r="F290" s="1939"/>
      <c r="G290" s="1939"/>
      <c r="H290" s="1939"/>
      <c r="I290" s="1939"/>
      <c r="J290" s="1939"/>
      <c r="K290" s="1939"/>
      <c r="L290" s="1939"/>
      <c r="M290" s="1939"/>
      <c r="O290" s="1935" t="s">
        <v>1726</v>
      </c>
      <c r="P290" s="3612"/>
      <c r="Q290" s="3612"/>
      <c r="AA290" s="2490">
        <v>289</v>
      </c>
    </row>
    <row r="291" spans="1:27" ht="30.75" customHeight="1">
      <c r="A291" s="1940"/>
      <c r="B291" s="3613" t="s">
        <v>5009</v>
      </c>
      <c r="C291" s="3613"/>
      <c r="D291" s="3613"/>
      <c r="E291" s="3613"/>
      <c r="F291" s="3613"/>
      <c r="G291" s="3613"/>
      <c r="H291" s="3613"/>
      <c r="I291" s="3613"/>
      <c r="J291" s="3613"/>
      <c r="K291" s="3613"/>
      <c r="L291" s="3613"/>
      <c r="M291" s="3613"/>
      <c r="N291" s="3613"/>
      <c r="O291" s="3614"/>
      <c r="P291" s="3694"/>
      <c r="Q291" s="3694"/>
      <c r="AA291" s="2490">
        <v>290</v>
      </c>
    </row>
    <row r="292" spans="1:27" ht="20.25" customHeight="1">
      <c r="A292" s="1940"/>
      <c r="B292" s="1953" t="s">
        <v>3157</v>
      </c>
      <c r="D292" s="1953"/>
      <c r="E292" s="1953"/>
      <c r="F292" s="1953"/>
      <c r="G292" s="1953"/>
      <c r="H292" s="1941"/>
      <c r="I292" s="1934"/>
      <c r="J292" s="1934"/>
      <c r="K292" s="1934"/>
      <c r="L292" s="1931"/>
      <c r="M292" s="1931"/>
      <c r="N292" s="1931"/>
      <c r="O292" s="1931"/>
      <c r="P292" s="1931"/>
      <c r="Q292" s="1931"/>
      <c r="AA292" s="2490">
        <v>291</v>
      </c>
    </row>
    <row r="293" spans="1:27" ht="20.25" customHeight="1">
      <c r="A293" s="3605"/>
      <c r="B293" s="3732"/>
      <c r="C293" s="3732"/>
      <c r="D293" s="3732"/>
      <c r="E293" s="3732"/>
      <c r="F293" s="3732"/>
      <c r="G293" s="3732"/>
      <c r="H293" s="3732"/>
      <c r="I293" s="3732"/>
      <c r="J293" s="3732"/>
      <c r="K293" s="3732"/>
      <c r="L293" s="3732"/>
      <c r="M293" s="3732"/>
      <c r="N293" s="3732"/>
      <c r="O293" s="3732"/>
      <c r="P293" s="3732"/>
      <c r="Q293" s="3735"/>
      <c r="AA293" s="2490">
        <v>292</v>
      </c>
    </row>
    <row r="294" spans="1:27" ht="20.25" customHeight="1">
      <c r="B294" s="1937" t="s">
        <v>1725</v>
      </c>
      <c r="C294" s="1938"/>
      <c r="D294" s="1939"/>
      <c r="E294" s="1939"/>
      <c r="F294" s="1939"/>
      <c r="G294" s="1939"/>
      <c r="H294" s="1939"/>
      <c r="I294" s="1939"/>
      <c r="J294" s="1939"/>
      <c r="K294" s="1939"/>
      <c r="L294" s="1939"/>
      <c r="M294" s="1939"/>
      <c r="N294" s="1939"/>
      <c r="O294" s="1939"/>
      <c r="P294" s="1939"/>
      <c r="Q294" s="1939"/>
      <c r="AA294" s="2490">
        <v>293</v>
      </c>
    </row>
    <row r="295" spans="1:27" ht="20.25" customHeight="1">
      <c r="A295" s="3610"/>
      <c r="B295" s="3736"/>
      <c r="C295" s="3736"/>
      <c r="D295" s="3736"/>
      <c r="E295" s="3736"/>
      <c r="F295" s="3736"/>
      <c r="G295" s="3736"/>
      <c r="H295" s="3736"/>
      <c r="I295" s="3736"/>
      <c r="J295" s="3736"/>
      <c r="K295" s="3736"/>
      <c r="L295" s="3736"/>
      <c r="M295" s="3736"/>
      <c r="N295" s="3736"/>
      <c r="O295" s="3736"/>
      <c r="P295" s="3736"/>
      <c r="Q295" s="3737"/>
      <c r="AA295" s="2490">
        <v>294</v>
      </c>
    </row>
    <row r="296" spans="1:27" ht="14.25" customHeight="1">
      <c r="A296" s="1940"/>
      <c r="B296" s="1934"/>
      <c r="C296" s="1939"/>
      <c r="D296" s="1939"/>
      <c r="E296" s="1939"/>
      <c r="F296" s="1939"/>
      <c r="G296" s="1939"/>
      <c r="H296" s="1939"/>
      <c r="I296" s="1939"/>
      <c r="J296" s="1939"/>
      <c r="K296" s="1939"/>
      <c r="L296" s="1939"/>
      <c r="M296" s="1939"/>
      <c r="Q296" s="1931"/>
      <c r="AA296" s="2490">
        <v>295</v>
      </c>
    </row>
    <row r="297" spans="1:27" ht="14.25" customHeight="1">
      <c r="A297" s="1940"/>
      <c r="B297" s="1934"/>
      <c r="C297" s="1939"/>
      <c r="D297" s="1939"/>
      <c r="E297" s="1939"/>
      <c r="F297" s="1939"/>
      <c r="G297" s="1939"/>
      <c r="H297" s="1939"/>
      <c r="I297" s="1939"/>
      <c r="J297" s="1939"/>
      <c r="K297" s="1939"/>
      <c r="L297" s="1939"/>
      <c r="M297" s="1939"/>
      <c r="Q297" s="1931"/>
      <c r="AA297" s="2490">
        <v>296</v>
      </c>
    </row>
    <row r="298" spans="1:27" ht="20.25" customHeight="1">
      <c r="A298" s="1940" t="s">
        <v>3294</v>
      </c>
      <c r="B298" s="1932" t="s">
        <v>4823</v>
      </c>
      <c r="C298" s="1936"/>
      <c r="D298" s="1932"/>
      <c r="E298" s="1939"/>
      <c r="F298" s="1939"/>
      <c r="G298" s="1939"/>
      <c r="H298" s="1939"/>
      <c r="J298" s="1939"/>
      <c r="K298" s="1939"/>
      <c r="L298" s="1939"/>
      <c r="M298" s="1939"/>
      <c r="O298" s="1935" t="s">
        <v>1726</v>
      </c>
      <c r="P298" s="3608"/>
      <c r="Q298" s="3645"/>
      <c r="S298" s="1936"/>
      <c r="T298" s="1936"/>
      <c r="AA298" s="2491">
        <v>297</v>
      </c>
    </row>
    <row r="299" spans="1:27" ht="15">
      <c r="A299" s="1940"/>
      <c r="B299" s="3613" t="s">
        <v>5019</v>
      </c>
      <c r="C299" s="3613"/>
      <c r="D299" s="3613"/>
      <c r="E299" s="3613"/>
      <c r="F299" s="3613"/>
      <c r="G299" s="3613"/>
      <c r="H299" s="3613"/>
      <c r="I299" s="3613"/>
      <c r="J299" s="3613"/>
      <c r="K299" s="3613"/>
      <c r="L299" s="3613"/>
      <c r="M299" s="3613"/>
      <c r="N299" s="3613"/>
      <c r="O299" s="3614"/>
      <c r="P299" s="3694"/>
      <c r="Q299" s="3694"/>
      <c r="AA299" s="2490">
        <v>298</v>
      </c>
    </row>
    <row r="300" spans="1:27" ht="30" customHeight="1">
      <c r="A300" s="1940"/>
      <c r="B300" s="3690" t="s">
        <v>4824</v>
      </c>
      <c r="C300" s="3690"/>
      <c r="D300" s="3690"/>
      <c r="E300" s="3690"/>
      <c r="F300" s="3690"/>
      <c r="G300" s="3690"/>
      <c r="H300" s="3690"/>
      <c r="I300" s="3690"/>
      <c r="J300" s="3690"/>
      <c r="K300" s="3690"/>
      <c r="L300" s="3690"/>
      <c r="M300" s="3690"/>
      <c r="N300" s="3690"/>
      <c r="O300" s="3691"/>
      <c r="P300" s="3745"/>
      <c r="Q300" s="3745"/>
      <c r="AA300" s="2490">
        <v>299</v>
      </c>
    </row>
    <row r="301" spans="1:27" ht="20.25" customHeight="1">
      <c r="A301" s="1940"/>
      <c r="B301" s="1953" t="s">
        <v>3157</v>
      </c>
      <c r="D301" s="1953"/>
      <c r="E301" s="1953"/>
      <c r="F301" s="1953"/>
      <c r="G301" s="1953"/>
      <c r="H301" s="1941"/>
      <c r="I301" s="1934"/>
      <c r="J301" s="1934"/>
      <c r="K301" s="1934"/>
      <c r="L301" s="1931"/>
      <c r="M301" s="1931"/>
      <c r="N301" s="1931"/>
      <c r="O301" s="1931"/>
      <c r="P301" s="1931"/>
      <c r="Q301" s="1931"/>
      <c r="AA301" s="2490">
        <v>300</v>
      </c>
    </row>
    <row r="302" spans="1:27" ht="20.25" customHeight="1">
      <c r="A302" s="3605"/>
      <c r="B302" s="3732"/>
      <c r="C302" s="3732"/>
      <c r="D302" s="3732"/>
      <c r="E302" s="3732"/>
      <c r="F302" s="3732"/>
      <c r="G302" s="3732"/>
      <c r="H302" s="3732"/>
      <c r="I302" s="3732"/>
      <c r="J302" s="3732"/>
      <c r="K302" s="3732"/>
      <c r="L302" s="3732"/>
      <c r="M302" s="3732"/>
      <c r="N302" s="3732"/>
      <c r="O302" s="3732"/>
      <c r="P302" s="3732"/>
      <c r="Q302" s="3735"/>
      <c r="AA302" s="2490">
        <v>301</v>
      </c>
    </row>
    <row r="303" spans="1:27" ht="20.25" customHeight="1">
      <c r="B303" s="1937" t="s">
        <v>1725</v>
      </c>
      <c r="C303" s="1938"/>
      <c r="D303" s="1939"/>
      <c r="E303" s="1939"/>
      <c r="F303" s="1939"/>
      <c r="G303" s="1939"/>
      <c r="H303" s="1939"/>
      <c r="I303" s="1939"/>
      <c r="J303" s="1939"/>
      <c r="K303" s="1939"/>
      <c r="L303" s="1939"/>
      <c r="M303" s="1939"/>
      <c r="N303" s="1939"/>
      <c r="O303" s="1939"/>
      <c r="P303" s="1939"/>
      <c r="Q303" s="1939"/>
      <c r="AA303" s="2490">
        <v>302</v>
      </c>
    </row>
    <row r="304" spans="1:27" ht="20.25" customHeight="1">
      <c r="A304" s="3610"/>
      <c r="B304" s="3736"/>
      <c r="C304" s="3736"/>
      <c r="D304" s="3736"/>
      <c r="E304" s="3736"/>
      <c r="F304" s="3736"/>
      <c r="G304" s="3736"/>
      <c r="H304" s="3736"/>
      <c r="I304" s="3736"/>
      <c r="J304" s="3736"/>
      <c r="K304" s="3736"/>
      <c r="L304" s="3736"/>
      <c r="M304" s="3736"/>
      <c r="N304" s="3736"/>
      <c r="O304" s="3736"/>
      <c r="P304" s="3736"/>
      <c r="Q304" s="3737"/>
      <c r="AA304" s="2490">
        <v>303</v>
      </c>
    </row>
    <row r="305" spans="1:27" ht="15.6" customHeight="1">
      <c r="A305" s="1931"/>
      <c r="B305" s="1934"/>
      <c r="C305" s="1939"/>
      <c r="D305" s="1939"/>
      <c r="E305" s="1939"/>
      <c r="F305" s="1939"/>
      <c r="G305" s="1939"/>
      <c r="H305" s="1939"/>
      <c r="I305" s="1939"/>
      <c r="J305" s="1939"/>
      <c r="K305" s="1939"/>
      <c r="L305" s="1939"/>
      <c r="M305" s="1939"/>
      <c r="N305" s="1939"/>
      <c r="O305" s="1939"/>
      <c r="P305" s="1939"/>
      <c r="Q305" s="1931"/>
      <c r="AA305" s="2490">
        <v>304</v>
      </c>
    </row>
    <row r="306" spans="1:27" ht="14.25" customHeight="1">
      <c r="A306" s="1940"/>
      <c r="B306" s="1934"/>
      <c r="C306" s="1939"/>
      <c r="D306" s="1939"/>
      <c r="E306" s="1939"/>
      <c r="F306" s="1939"/>
      <c r="G306" s="1939"/>
      <c r="H306" s="1939"/>
      <c r="I306" s="1939"/>
      <c r="J306" s="1939"/>
      <c r="K306" s="1939"/>
      <c r="L306" s="1939"/>
      <c r="M306" s="1939"/>
      <c r="Q306" s="1931"/>
      <c r="AA306" s="2490">
        <v>305</v>
      </c>
    </row>
    <row r="307" spans="1:27" ht="20.25" customHeight="1">
      <c r="A307" s="1940" t="s">
        <v>3680</v>
      </c>
      <c r="B307" s="1932" t="s">
        <v>2429</v>
      </c>
      <c r="C307" s="1936"/>
      <c r="D307" s="1932"/>
      <c r="E307" s="1939"/>
      <c r="F307" s="1939"/>
      <c r="G307" s="1939"/>
      <c r="H307" s="1939"/>
      <c r="J307" s="1939"/>
      <c r="K307" s="1939"/>
      <c r="L307" s="1939"/>
      <c r="M307" s="1939"/>
      <c r="O307" s="1935" t="s">
        <v>1726</v>
      </c>
      <c r="P307" s="3608"/>
      <c r="Q307" s="3645"/>
      <c r="AA307" s="2491">
        <v>306</v>
      </c>
    </row>
    <row r="308" spans="1:27" ht="20.25" customHeight="1">
      <c r="A308" s="1940"/>
      <c r="B308" s="1953" t="s">
        <v>3157</v>
      </c>
      <c r="D308" s="1953"/>
      <c r="E308" s="1953"/>
      <c r="F308" s="1953"/>
      <c r="G308" s="1953"/>
      <c r="H308" s="1941"/>
      <c r="I308" s="1934"/>
      <c r="J308" s="1934"/>
      <c r="K308" s="1934"/>
      <c r="L308" s="1931"/>
      <c r="M308" s="1931"/>
      <c r="N308" s="1931"/>
      <c r="O308" s="1931"/>
      <c r="P308" s="1931"/>
      <c r="Q308" s="1931"/>
      <c r="AA308" s="2490">
        <v>307</v>
      </c>
    </row>
    <row r="309" spans="1:27" ht="20.25" customHeight="1">
      <c r="A309" s="3605"/>
      <c r="B309" s="3732"/>
      <c r="C309" s="3732"/>
      <c r="D309" s="3732"/>
      <c r="E309" s="3732"/>
      <c r="F309" s="3732"/>
      <c r="G309" s="3732"/>
      <c r="H309" s="3732"/>
      <c r="I309" s="3732"/>
      <c r="J309" s="3732"/>
      <c r="K309" s="3732"/>
      <c r="L309" s="3732"/>
      <c r="M309" s="3732"/>
      <c r="N309" s="3732"/>
      <c r="O309" s="3732"/>
      <c r="P309" s="3732"/>
      <c r="Q309" s="3735"/>
      <c r="AA309" s="2490">
        <v>308</v>
      </c>
    </row>
    <row r="310" spans="1:27" ht="20.25" customHeight="1">
      <c r="B310" s="1937" t="s">
        <v>1725</v>
      </c>
      <c r="C310" s="1938"/>
      <c r="D310" s="1939"/>
      <c r="E310" s="1939"/>
      <c r="F310" s="1939"/>
      <c r="G310" s="1939"/>
      <c r="H310" s="1939"/>
      <c r="I310" s="1939"/>
      <c r="J310" s="1939"/>
      <c r="K310" s="1939"/>
      <c r="L310" s="1939"/>
      <c r="M310" s="1939"/>
      <c r="N310" s="1939"/>
      <c r="O310" s="1939"/>
      <c r="P310" s="1939"/>
      <c r="Q310" s="1939"/>
      <c r="AA310" s="2490">
        <v>309</v>
      </c>
    </row>
    <row r="311" spans="1:27" ht="20.25" customHeight="1">
      <c r="A311" s="3610"/>
      <c r="B311" s="3736"/>
      <c r="C311" s="3736"/>
      <c r="D311" s="3736"/>
      <c r="E311" s="3736"/>
      <c r="F311" s="3736"/>
      <c r="G311" s="3736"/>
      <c r="H311" s="3736"/>
      <c r="I311" s="3736"/>
      <c r="J311" s="3736"/>
      <c r="K311" s="3736"/>
      <c r="L311" s="3736"/>
      <c r="M311" s="3736"/>
      <c r="N311" s="3736"/>
      <c r="O311" s="3736"/>
      <c r="P311" s="3736"/>
      <c r="Q311" s="3737"/>
      <c r="AA311" s="2490">
        <v>310</v>
      </c>
    </row>
    <row r="312" spans="1:27" ht="20.25" customHeight="1">
      <c r="A312" s="1939"/>
      <c r="B312" s="1939"/>
      <c r="C312" s="1939"/>
      <c r="D312" s="1939"/>
      <c r="E312" s="1939"/>
      <c r="F312" s="1939"/>
      <c r="G312" s="1939"/>
      <c r="H312" s="1939"/>
      <c r="I312" s="1939"/>
      <c r="J312" s="1939"/>
      <c r="K312" s="1939"/>
      <c r="L312" s="1939"/>
      <c r="M312" s="1939"/>
      <c r="N312" s="1939"/>
      <c r="O312" s="1939"/>
      <c r="P312" s="1939"/>
      <c r="Q312" s="1939"/>
      <c r="R312" s="1987"/>
      <c r="AA312" s="2490">
        <v>311</v>
      </c>
    </row>
    <row r="313" spans="1:27" ht="20.25" customHeight="1">
      <c r="A313" s="1939"/>
      <c r="B313" s="1939"/>
      <c r="C313" s="1939"/>
      <c r="D313" s="1939"/>
      <c r="E313" s="1939"/>
      <c r="F313" s="1939"/>
      <c r="G313" s="1939"/>
      <c r="H313" s="1939"/>
      <c r="I313" s="1939"/>
      <c r="J313" s="1939"/>
      <c r="K313" s="1939"/>
      <c r="L313" s="1939"/>
      <c r="M313" s="1939"/>
      <c r="N313" s="1939"/>
      <c r="O313" s="1939"/>
      <c r="P313" s="1939"/>
      <c r="Q313" s="1939"/>
      <c r="R313" s="1987"/>
      <c r="S313" s="1987"/>
      <c r="AA313" s="2490">
        <v>312</v>
      </c>
    </row>
    <row r="314" spans="1:27">
      <c r="R314" s="1987"/>
      <c r="S314" s="1987"/>
      <c r="AA314" s="2490">
        <v>313</v>
      </c>
    </row>
    <row r="315" spans="1:27">
      <c r="R315" s="1987"/>
      <c r="S315" s="1987"/>
      <c r="AA315" s="2490">
        <v>314</v>
      </c>
    </row>
    <row r="316" spans="1:27">
      <c r="R316" s="1987"/>
      <c r="S316" s="1987"/>
      <c r="AA316" s="2491">
        <v>315</v>
      </c>
    </row>
    <row r="317" spans="1:27">
      <c r="R317" s="1987"/>
      <c r="S317" s="1987"/>
      <c r="AA317" s="2490">
        <v>316</v>
      </c>
    </row>
    <row r="318" spans="1:27">
      <c r="R318" s="1987"/>
      <c r="S318" s="1987"/>
      <c r="AA318" s="2490">
        <v>317</v>
      </c>
    </row>
    <row r="319" spans="1:27">
      <c r="R319" s="1987"/>
      <c r="S319" s="1987"/>
      <c r="AA319" s="2490">
        <v>318</v>
      </c>
    </row>
    <row r="320" spans="1:27">
      <c r="R320" s="1987"/>
      <c r="S320" s="1987"/>
      <c r="AA320" s="2490">
        <v>319</v>
      </c>
    </row>
    <row r="321" spans="18:27">
      <c r="R321" s="1987"/>
      <c r="S321" s="1987"/>
      <c r="AA321" s="2490">
        <v>320</v>
      </c>
    </row>
    <row r="322" spans="18:27">
      <c r="R322" s="1987"/>
      <c r="S322" s="1987"/>
      <c r="AA322" s="2490">
        <v>321</v>
      </c>
    </row>
    <row r="323" spans="18:27">
      <c r="R323" s="1987"/>
      <c r="S323" s="1987"/>
      <c r="AA323" s="2490">
        <v>322</v>
      </c>
    </row>
    <row r="324" spans="18:27">
      <c r="R324" s="1987"/>
      <c r="S324" s="1987"/>
      <c r="AA324" s="2490">
        <v>323</v>
      </c>
    </row>
    <row r="325" spans="18:27">
      <c r="R325" s="1987"/>
      <c r="S325" s="1987"/>
      <c r="AA325" s="2491">
        <v>324</v>
      </c>
    </row>
    <row r="326" spans="18:27">
      <c r="R326" s="1987"/>
      <c r="S326" s="1987"/>
      <c r="AA326" s="2490">
        <v>325</v>
      </c>
    </row>
    <row r="327" spans="18:27">
      <c r="R327" s="1987"/>
      <c r="S327" s="1987"/>
      <c r="AA327" s="2490">
        <v>326</v>
      </c>
    </row>
    <row r="328" spans="18:27">
      <c r="R328" s="1987"/>
      <c r="S328" s="1987"/>
      <c r="AA328" s="2490">
        <v>327</v>
      </c>
    </row>
    <row r="329" spans="18:27">
      <c r="R329" s="1987"/>
      <c r="S329" s="1987"/>
      <c r="AA329" s="2490">
        <v>328</v>
      </c>
    </row>
    <row r="330" spans="18:27">
      <c r="R330" s="1987"/>
      <c r="S330" s="1987"/>
      <c r="AA330" s="2490">
        <v>329</v>
      </c>
    </row>
    <row r="331" spans="18:27">
      <c r="R331" s="1987"/>
      <c r="S331" s="1987"/>
      <c r="AA331" s="2490">
        <v>330</v>
      </c>
    </row>
    <row r="332" spans="18:27">
      <c r="R332" s="1987"/>
      <c r="S332" s="1987"/>
      <c r="AA332" s="2490">
        <v>331</v>
      </c>
    </row>
    <row r="333" spans="18:27">
      <c r="R333" s="1987"/>
      <c r="S333" s="1987"/>
      <c r="AA333" s="2490">
        <v>332</v>
      </c>
    </row>
    <row r="334" spans="18:27">
      <c r="R334" s="1987"/>
      <c r="S334" s="1987"/>
      <c r="AA334" s="2491">
        <v>333</v>
      </c>
    </row>
    <row r="335" spans="18:27">
      <c r="R335" s="1987"/>
      <c r="S335" s="1987"/>
      <c r="AA335" s="2490">
        <v>334</v>
      </c>
    </row>
    <row r="336" spans="18:27">
      <c r="R336" s="1987"/>
      <c r="S336" s="1987"/>
      <c r="AA336" s="2490">
        <v>335</v>
      </c>
    </row>
    <row r="337" spans="18:27">
      <c r="R337" s="1987"/>
      <c r="S337" s="1987"/>
      <c r="AA337" s="2490">
        <v>336</v>
      </c>
    </row>
    <row r="338" spans="18:27">
      <c r="R338" s="1987"/>
      <c r="S338" s="1987"/>
      <c r="AA338" s="2490">
        <v>337</v>
      </c>
    </row>
    <row r="339" spans="18:27">
      <c r="R339" s="1987"/>
      <c r="S339" s="1987"/>
      <c r="AA339" s="2490">
        <v>338</v>
      </c>
    </row>
    <row r="340" spans="18:27">
      <c r="R340" s="1987"/>
      <c r="S340" s="1987"/>
      <c r="AA340" s="2490">
        <v>339</v>
      </c>
    </row>
    <row r="341" spans="18:27">
      <c r="R341" s="1987"/>
      <c r="S341" s="1987"/>
      <c r="AA341" s="2490">
        <v>340</v>
      </c>
    </row>
    <row r="342" spans="18:27">
      <c r="R342" s="1987"/>
      <c r="S342" s="1987"/>
    </row>
    <row r="343" spans="18:27">
      <c r="R343" s="1987"/>
      <c r="S343" s="1987"/>
    </row>
    <row r="344" spans="18:27">
      <c r="R344" s="1987"/>
      <c r="S344" s="1987"/>
    </row>
    <row r="345" spans="18:27">
      <c r="R345" s="1987"/>
      <c r="S345" s="1987"/>
    </row>
    <row r="346" spans="18:27">
      <c r="R346" s="1987"/>
      <c r="S346" s="1987"/>
    </row>
    <row r="347" spans="18:27">
      <c r="R347" s="1987"/>
      <c r="S347" s="1987"/>
    </row>
    <row r="348" spans="18:27">
      <c r="R348" s="1987"/>
      <c r="S348" s="1987"/>
    </row>
    <row r="349" spans="18:27">
      <c r="R349" s="1987"/>
      <c r="S349" s="1987"/>
    </row>
    <row r="350" spans="18:27">
      <c r="R350" s="1987"/>
      <c r="S350" s="1987"/>
    </row>
    <row r="351" spans="18:27">
      <c r="R351" s="1987"/>
      <c r="S351" s="1987"/>
    </row>
    <row r="352" spans="18:27">
      <c r="R352" s="1987"/>
      <c r="S352" s="1987"/>
    </row>
    <row r="353" spans="18:19">
      <c r="R353" s="1987"/>
      <c r="S353" s="1987"/>
    </row>
    <row r="354" spans="18:19">
      <c r="R354" s="1987"/>
      <c r="S354" s="1987"/>
    </row>
    <row r="355" spans="18:19">
      <c r="R355" s="1987"/>
      <c r="S355" s="1987"/>
    </row>
    <row r="356" spans="18:19">
      <c r="R356" s="1987"/>
      <c r="S356" s="1987"/>
    </row>
    <row r="357" spans="18:19">
      <c r="R357" s="1987"/>
      <c r="S357" s="1987"/>
    </row>
    <row r="358" spans="18:19">
      <c r="R358" s="1987"/>
      <c r="S358" s="1987"/>
    </row>
    <row r="359" spans="18:19">
      <c r="R359" s="1987"/>
      <c r="S359" s="1987"/>
    </row>
    <row r="360" spans="18:19">
      <c r="R360" s="1987"/>
      <c r="S360" s="1987"/>
    </row>
    <row r="361" spans="18:19">
      <c r="R361" s="1987"/>
      <c r="S361" s="1987"/>
    </row>
    <row r="362" spans="18:19">
      <c r="R362" s="1987"/>
      <c r="S362" s="1987"/>
    </row>
    <row r="363" spans="18:19">
      <c r="R363" s="1987"/>
      <c r="S363" s="1987"/>
    </row>
    <row r="364" spans="18:19">
      <c r="R364" s="1987"/>
      <c r="S364" s="1987"/>
    </row>
    <row r="365" spans="18:19">
      <c r="R365" s="1987"/>
      <c r="S365" s="1987"/>
    </row>
    <row r="366" spans="18:19">
      <c r="R366" s="1987"/>
      <c r="S366" s="1987"/>
    </row>
    <row r="367" spans="18:19">
      <c r="R367" s="1987"/>
      <c r="S367" s="1987"/>
    </row>
    <row r="368" spans="18:19">
      <c r="R368" s="1987"/>
      <c r="S368" s="1987"/>
    </row>
    <row r="369" spans="1:19">
      <c r="R369" s="1987"/>
      <c r="S369" s="1987"/>
    </row>
    <row r="370" spans="1:19">
      <c r="R370" s="1987"/>
      <c r="S370" s="1987"/>
    </row>
    <row r="371" spans="1:19">
      <c r="R371" s="1987"/>
      <c r="S371" s="1987"/>
    </row>
    <row r="372" spans="1:19">
      <c r="R372" s="1987"/>
      <c r="S372" s="1987"/>
    </row>
    <row r="373" spans="1:19">
      <c r="R373" s="1987"/>
      <c r="S373" s="1987"/>
    </row>
    <row r="374" spans="1:19">
      <c r="R374" s="1987"/>
      <c r="S374" s="1987"/>
    </row>
    <row r="375" spans="1:19">
      <c r="R375" s="1987"/>
      <c r="S375" s="1987"/>
    </row>
    <row r="376" spans="1:19">
      <c r="R376" s="1987"/>
      <c r="S376" s="1987"/>
    </row>
    <row r="377" spans="1:19">
      <c r="R377" s="1987"/>
      <c r="S377" s="1987"/>
    </row>
    <row r="378" spans="1:19">
      <c r="R378" s="1987"/>
      <c r="S378" s="1987"/>
    </row>
    <row r="379" spans="1:19">
      <c r="R379" s="1987"/>
      <c r="S379" s="1987"/>
    </row>
    <row r="380" spans="1:19">
      <c r="R380" s="1987"/>
      <c r="S380" s="1987"/>
    </row>
    <row r="381" spans="1:19">
      <c r="R381" s="1987"/>
      <c r="S381" s="1987"/>
    </row>
    <row r="382" spans="1:19">
      <c r="R382" s="1987"/>
      <c r="S382" s="1987"/>
    </row>
    <row r="383" spans="1:19">
      <c r="A383" s="2482"/>
      <c r="B383" s="2482"/>
      <c r="C383" s="2482"/>
      <c r="D383" s="2482"/>
      <c r="E383" s="2482"/>
      <c r="F383" s="2482"/>
      <c r="G383" s="2482"/>
      <c r="H383" s="2482"/>
      <c r="I383" s="2482"/>
      <c r="J383" s="2482"/>
      <c r="K383" s="2482"/>
      <c r="L383" s="2482"/>
      <c r="M383" s="2482"/>
      <c r="N383" s="2482"/>
      <c r="O383" s="2482"/>
      <c r="P383" s="2482"/>
      <c r="Q383" s="2482"/>
      <c r="R383" s="1987"/>
      <c r="S383" s="1987"/>
    </row>
    <row r="384" spans="1:19">
      <c r="A384" s="2482"/>
      <c r="B384" s="2482"/>
      <c r="C384" s="2482"/>
      <c r="D384" s="2482"/>
      <c r="E384" s="2482"/>
      <c r="F384" s="2482"/>
      <c r="G384" s="2482"/>
      <c r="H384" s="2482"/>
      <c r="I384" s="2482"/>
      <c r="J384" s="2482"/>
      <c r="K384" s="2482"/>
      <c r="L384" s="2482"/>
      <c r="M384" s="2482"/>
      <c r="N384" s="2482"/>
      <c r="O384" s="2482"/>
      <c r="P384" s="2482"/>
      <c r="Q384" s="2482"/>
      <c r="R384" s="1987"/>
      <c r="S384" s="1987"/>
    </row>
    <row r="385" spans="1:20">
      <c r="A385" s="2482"/>
      <c r="B385" s="2482"/>
      <c r="C385" s="2482"/>
      <c r="D385" s="2482"/>
      <c r="E385" s="2482"/>
      <c r="F385" s="2482"/>
      <c r="G385" s="2482"/>
      <c r="H385" s="2482"/>
      <c r="I385" s="2482"/>
      <c r="J385" s="2482" t="s">
        <v>949</v>
      </c>
      <c r="K385" s="2482"/>
      <c r="L385" s="2482"/>
      <c r="M385" s="2482"/>
      <c r="N385" s="2482"/>
      <c r="O385" s="2482" t="s">
        <v>1641</v>
      </c>
      <c r="P385" s="2482"/>
      <c r="Q385" s="2482"/>
      <c r="R385" s="1987"/>
      <c r="S385" s="1987"/>
    </row>
    <row r="386" spans="1:20" ht="20.25" customHeight="1">
      <c r="A386" s="2482"/>
      <c r="B386" s="2482"/>
      <c r="C386" s="2482" t="s">
        <v>1641</v>
      </c>
      <c r="D386" s="2482"/>
      <c r="E386" s="2482"/>
      <c r="F386" s="2482"/>
      <c r="G386" s="2482"/>
      <c r="H386" s="2482"/>
      <c r="I386" s="2482"/>
      <c r="J386" s="2483" t="s">
        <v>1542</v>
      </c>
      <c r="K386" s="2482"/>
      <c r="L386" s="2482"/>
      <c r="M386" s="2482"/>
      <c r="N386" s="2484"/>
      <c r="O386" s="2483" t="s">
        <v>3917</v>
      </c>
      <c r="P386" s="2485"/>
      <c r="Q386" s="2482"/>
      <c r="R386" s="1987"/>
      <c r="S386" s="1987"/>
      <c r="T386" s="1987"/>
    </row>
    <row r="387" spans="1:20" ht="20.25" customHeight="1">
      <c r="A387" s="2482"/>
      <c r="B387" s="2482"/>
      <c r="C387" s="2483" t="s">
        <v>1310</v>
      </c>
      <c r="D387" s="2482"/>
      <c r="E387" s="2482"/>
      <c r="F387" s="2482"/>
      <c r="G387" s="2482"/>
      <c r="H387" s="2482"/>
      <c r="I387" s="2482"/>
      <c r="J387" s="2483" t="s">
        <v>1948</v>
      </c>
      <c r="K387" s="2482"/>
      <c r="L387" s="2482"/>
      <c r="M387" s="2482"/>
      <c r="N387" s="2484"/>
      <c r="O387" s="2483" t="s">
        <v>3918</v>
      </c>
      <c r="P387" s="2485"/>
      <c r="Q387" s="2482"/>
      <c r="R387" s="1987"/>
      <c r="S387" s="1987"/>
      <c r="T387" s="1987"/>
    </row>
    <row r="388" spans="1:20" ht="20.25" customHeight="1">
      <c r="A388" s="2482"/>
      <c r="B388" s="2482"/>
      <c r="C388" s="2483" t="s">
        <v>1311</v>
      </c>
      <c r="D388" s="2482"/>
      <c r="E388" s="2482"/>
      <c r="F388" s="2482"/>
      <c r="G388" s="2482"/>
      <c r="H388" s="2482"/>
      <c r="I388" s="2482"/>
      <c r="J388" s="2483" t="s">
        <v>1535</v>
      </c>
      <c r="K388" s="2482"/>
      <c r="L388" s="2482"/>
      <c r="M388" s="2482"/>
      <c r="N388" s="2484"/>
      <c r="O388" s="2483" t="s">
        <v>3919</v>
      </c>
      <c r="P388" s="2485"/>
      <c r="Q388" s="2482"/>
      <c r="R388" s="1987"/>
      <c r="S388" s="1987"/>
      <c r="T388" s="1987"/>
    </row>
    <row r="389" spans="1:20" ht="20.25" customHeight="1">
      <c r="A389" s="2482"/>
      <c r="B389" s="2482"/>
      <c r="C389" s="2483" t="s">
        <v>1975</v>
      </c>
      <c r="D389" s="2482"/>
      <c r="E389" s="2482"/>
      <c r="F389" s="2482"/>
      <c r="G389" s="2482"/>
      <c r="H389" s="2482"/>
      <c r="I389" s="2482"/>
      <c r="J389" s="2483" t="s">
        <v>1119</v>
      </c>
      <c r="K389" s="2482"/>
      <c r="L389" s="2482"/>
      <c r="M389" s="2482"/>
      <c r="N389" s="2484"/>
      <c r="O389" s="2483" t="s">
        <v>3923</v>
      </c>
      <c r="P389" s="2485"/>
      <c r="Q389" s="2482"/>
      <c r="R389" s="1987"/>
      <c r="S389" s="1987"/>
      <c r="T389" s="1987"/>
    </row>
    <row r="390" spans="1:20" ht="20.25" customHeight="1">
      <c r="A390" s="2482"/>
      <c r="B390" s="2482"/>
      <c r="C390" s="2483" t="s">
        <v>1307</v>
      </c>
      <c r="D390" s="2482"/>
      <c r="E390" s="2482"/>
      <c r="F390" s="2482"/>
      <c r="G390" s="2482"/>
      <c r="H390" s="2482"/>
      <c r="I390" s="2482"/>
      <c r="J390" s="2483" t="s">
        <v>548</v>
      </c>
      <c r="K390" s="2482"/>
      <c r="L390" s="2482"/>
      <c r="M390" s="2482"/>
      <c r="N390" s="2484"/>
      <c r="O390" s="2483" t="s">
        <v>3920</v>
      </c>
      <c r="P390" s="2485"/>
      <c r="Q390" s="2482"/>
      <c r="R390" s="1987"/>
      <c r="S390" s="1987"/>
      <c r="T390" s="1987"/>
    </row>
    <row r="391" spans="1:20" ht="20.25" customHeight="1">
      <c r="A391" s="2482"/>
      <c r="B391" s="2482"/>
      <c r="C391" s="2483" t="s">
        <v>1308</v>
      </c>
      <c r="D391" s="2482"/>
      <c r="E391" s="2482"/>
      <c r="F391" s="2482"/>
      <c r="G391" s="2482"/>
      <c r="H391" s="2482"/>
      <c r="I391" s="2482"/>
      <c r="J391" s="2483" t="s">
        <v>1541</v>
      </c>
      <c r="K391" s="2482"/>
      <c r="L391" s="2482"/>
      <c r="M391" s="2482"/>
      <c r="N391" s="2484"/>
      <c r="O391" s="2483" t="s">
        <v>3921</v>
      </c>
      <c r="P391" s="2485"/>
      <c r="Q391" s="2482"/>
      <c r="R391" s="1987"/>
      <c r="S391" s="1987"/>
      <c r="T391" s="1987"/>
    </row>
    <row r="392" spans="1:20" ht="20.25" customHeight="1">
      <c r="A392" s="2482"/>
      <c r="B392" s="2482"/>
      <c r="C392" s="2483" t="s">
        <v>1970</v>
      </c>
      <c r="D392" s="2482"/>
      <c r="E392" s="2482"/>
      <c r="F392" s="2482"/>
      <c r="G392" s="2482"/>
      <c r="H392" s="2482"/>
      <c r="I392" s="2482"/>
      <c r="J392" s="2483" t="s">
        <v>1116</v>
      </c>
      <c r="K392" s="2482"/>
      <c r="L392" s="2482"/>
      <c r="M392" s="2482"/>
      <c r="N392" s="2484"/>
      <c r="O392" s="2483" t="s">
        <v>3922</v>
      </c>
      <c r="P392" s="2485"/>
      <c r="Q392" s="2482"/>
      <c r="R392" s="1987"/>
      <c r="S392" s="1987"/>
      <c r="T392" s="1987"/>
    </row>
    <row r="393" spans="1:20" ht="20.25" customHeight="1">
      <c r="A393" s="2482"/>
      <c r="B393" s="2482"/>
      <c r="C393" s="2483" t="s">
        <v>1971</v>
      </c>
      <c r="D393" s="2482"/>
      <c r="E393" s="2482"/>
      <c r="F393" s="2482"/>
      <c r="G393" s="2482"/>
      <c r="H393" s="2482"/>
      <c r="I393" s="2482"/>
      <c r="J393" s="2483" t="s">
        <v>1115</v>
      </c>
      <c r="K393" s="2482"/>
      <c r="L393" s="2482"/>
      <c r="M393" s="2482"/>
      <c r="N393" s="2484"/>
      <c r="O393" s="2482" t="s">
        <v>3195</v>
      </c>
      <c r="P393" s="2485"/>
      <c r="Q393" s="2482"/>
      <c r="R393" s="1987"/>
      <c r="S393" s="1987"/>
      <c r="T393" s="1987"/>
    </row>
    <row r="394" spans="1:20" ht="20.25" customHeight="1">
      <c r="A394" s="2482"/>
      <c r="B394" s="2482"/>
      <c r="C394" s="2483" t="s">
        <v>1972</v>
      </c>
      <c r="D394" s="2482"/>
      <c r="E394" s="2482"/>
      <c r="F394" s="2482"/>
      <c r="G394" s="2482"/>
      <c r="H394" s="2482"/>
      <c r="I394" s="2482"/>
      <c r="J394" s="2483" t="s">
        <v>1601</v>
      </c>
      <c r="K394" s="2482"/>
      <c r="L394" s="2482"/>
      <c r="M394" s="2482"/>
      <c r="N394" s="2484"/>
      <c r="O394" s="2482" t="s">
        <v>3196</v>
      </c>
      <c r="P394" s="2485"/>
      <c r="Q394" s="2482"/>
      <c r="R394" s="1987"/>
      <c r="S394" s="1987"/>
      <c r="T394" s="1987"/>
    </row>
    <row r="395" spans="1:20" ht="20.25" customHeight="1">
      <c r="A395" s="2482"/>
      <c r="B395" s="2482"/>
      <c r="C395" s="2483" t="s">
        <v>1973</v>
      </c>
      <c r="D395" s="2482"/>
      <c r="E395" s="2482"/>
      <c r="F395" s="2482"/>
      <c r="G395" s="2482"/>
      <c r="H395" s="2482"/>
      <c r="I395" s="2482"/>
      <c r="J395" s="2483" t="s">
        <v>1544</v>
      </c>
      <c r="K395" s="2482"/>
      <c r="L395" s="2482"/>
      <c r="M395" s="2482"/>
      <c r="N395" s="2484"/>
      <c r="O395" s="2483"/>
      <c r="P395" s="2485"/>
      <c r="Q395" s="2482"/>
      <c r="R395" s="1987"/>
      <c r="S395" s="1987"/>
      <c r="T395" s="1987"/>
    </row>
    <row r="396" spans="1:20" ht="20.25" customHeight="1">
      <c r="A396" s="2482"/>
      <c r="B396" s="2482"/>
      <c r="C396" s="2483" t="s">
        <v>1974</v>
      </c>
      <c r="D396" s="2482"/>
      <c r="E396" s="2482"/>
      <c r="F396" s="2482"/>
      <c r="G396" s="2482"/>
      <c r="H396" s="2482"/>
      <c r="I396" s="2482"/>
      <c r="J396" s="2483" t="s">
        <v>1536</v>
      </c>
      <c r="K396" s="2482"/>
      <c r="L396" s="2482"/>
      <c r="M396" s="2482"/>
      <c r="N396" s="2484"/>
      <c r="O396" s="2482" t="s">
        <v>1641</v>
      </c>
      <c r="P396" s="2485"/>
      <c r="Q396" s="2482"/>
      <c r="R396" s="1987"/>
      <c r="S396" s="1987"/>
      <c r="T396" s="1987"/>
    </row>
    <row r="397" spans="1:20" ht="20.25" customHeight="1">
      <c r="A397" s="2482"/>
      <c r="B397" s="2482"/>
      <c r="C397" s="2483" t="s">
        <v>1309</v>
      </c>
      <c r="D397" s="2482"/>
      <c r="E397" s="2482"/>
      <c r="F397" s="2482"/>
      <c r="G397" s="2482"/>
      <c r="H397" s="2482"/>
      <c r="I397" s="2482"/>
      <c r="J397" s="2483" t="s">
        <v>1947</v>
      </c>
      <c r="K397" s="2482"/>
      <c r="L397" s="2482"/>
      <c r="M397" s="2482"/>
      <c r="N397" s="2484"/>
      <c r="O397" s="2483" t="s">
        <v>5049</v>
      </c>
      <c r="P397" s="2485"/>
      <c r="Q397" s="2482"/>
      <c r="R397" s="1987"/>
      <c r="S397" s="1987"/>
      <c r="T397" s="1987"/>
    </row>
    <row r="398" spans="1:20" ht="20.25" customHeight="1">
      <c r="A398" s="2482"/>
      <c r="B398" s="2482"/>
      <c r="C398" s="2483" t="s">
        <v>2103</v>
      </c>
      <c r="D398" s="2482"/>
      <c r="E398" s="2482"/>
      <c r="F398" s="2482"/>
      <c r="G398" s="2482"/>
      <c r="H398" s="2482"/>
      <c r="I398" s="2482"/>
      <c r="J398" s="2482"/>
      <c r="K398" s="2482"/>
      <c r="L398" s="2482"/>
      <c r="M398" s="2482"/>
      <c r="N398" s="2484"/>
      <c r="O398" s="2483" t="s">
        <v>5050</v>
      </c>
      <c r="P398" s="2485"/>
      <c r="Q398" s="2482"/>
      <c r="R398" s="1987"/>
      <c r="S398" s="1987"/>
      <c r="T398" s="1987"/>
    </row>
    <row r="399" spans="1:20" ht="20.25" customHeight="1">
      <c r="A399" s="2482"/>
      <c r="B399" s="2482"/>
      <c r="C399" s="2482"/>
      <c r="D399" s="2482"/>
      <c r="E399" s="2482"/>
      <c r="F399" s="2482"/>
      <c r="G399" s="2482"/>
      <c r="H399" s="2482"/>
      <c r="I399" s="2482"/>
      <c r="J399" s="2482"/>
      <c r="K399" s="2482"/>
      <c r="L399" s="2482"/>
      <c r="M399" s="2482"/>
      <c r="N399" s="2484"/>
      <c r="O399" s="2483" t="s">
        <v>5051</v>
      </c>
      <c r="P399" s="2485"/>
      <c r="Q399" s="2482"/>
      <c r="R399" s="1987"/>
      <c r="S399" s="1987"/>
      <c r="T399" s="1987"/>
    </row>
    <row r="400" spans="1:20" ht="20.25" customHeight="1">
      <c r="A400" s="2482"/>
      <c r="B400" s="2482"/>
      <c r="C400" s="2482"/>
      <c r="D400" s="2482"/>
      <c r="E400" s="2482"/>
      <c r="F400" s="2482"/>
      <c r="G400" s="2482"/>
      <c r="H400" s="2482"/>
      <c r="I400" s="2482"/>
      <c r="J400" s="2482"/>
      <c r="K400" s="2482"/>
      <c r="L400" s="2482"/>
      <c r="M400" s="2482"/>
      <c r="N400" s="2482"/>
      <c r="O400" s="2483" t="s">
        <v>5052</v>
      </c>
      <c r="P400" s="2482"/>
      <c r="Q400" s="2482"/>
      <c r="R400" s="1987"/>
      <c r="S400" s="1987"/>
      <c r="T400" s="1987"/>
    </row>
    <row r="401" spans="1:20" ht="20.25" customHeight="1">
      <c r="A401" s="2482"/>
      <c r="B401" s="2482"/>
      <c r="C401" s="2486" t="s">
        <v>1659</v>
      </c>
      <c r="D401" s="2482"/>
      <c r="E401" s="2482"/>
      <c r="F401" s="2482"/>
      <c r="G401" s="2482"/>
      <c r="H401" s="2482"/>
      <c r="I401" s="2482"/>
      <c r="J401" s="2482"/>
      <c r="K401" s="2482"/>
      <c r="L401" s="2482"/>
      <c r="M401" s="2482"/>
      <c r="N401" s="2482"/>
      <c r="O401" s="2482"/>
      <c r="P401" s="2482"/>
      <c r="Q401" s="2482"/>
      <c r="R401" s="1987"/>
      <c r="S401" s="1987"/>
      <c r="T401" s="1987"/>
    </row>
    <row r="402" spans="1:20" ht="20.25" customHeight="1">
      <c r="A402" s="2482"/>
      <c r="B402" s="2482"/>
      <c r="C402" s="2482" t="s">
        <v>868</v>
      </c>
      <c r="D402" s="2482"/>
      <c r="E402" s="2482"/>
      <c r="F402" s="2482"/>
      <c r="G402" s="2482"/>
      <c r="H402" s="2482"/>
      <c r="I402" s="2482"/>
      <c r="J402" s="2482"/>
      <c r="K402" s="2482"/>
      <c r="L402" s="2482"/>
      <c r="M402" s="2482"/>
      <c r="N402" s="2482"/>
      <c r="O402" s="2482"/>
      <c r="P402" s="2482"/>
      <c r="Q402" s="2482"/>
      <c r="R402" s="1987"/>
      <c r="S402" s="1987"/>
      <c r="T402" s="1987"/>
    </row>
    <row r="403" spans="1:20" ht="20.25" customHeight="1">
      <c r="A403" s="2482"/>
      <c r="B403" s="2482"/>
      <c r="C403" s="2483" t="s">
        <v>1520</v>
      </c>
      <c r="D403" s="2482"/>
      <c r="E403" s="2482"/>
      <c r="F403" s="2482"/>
      <c r="G403" s="2482"/>
      <c r="H403" s="2482"/>
      <c r="I403" s="2482"/>
      <c r="J403" s="2482"/>
      <c r="K403" s="2482"/>
      <c r="L403" s="2482"/>
      <c r="M403" s="2482"/>
      <c r="N403" s="2482"/>
      <c r="O403" s="2482"/>
      <c r="P403" s="2482"/>
      <c r="Q403" s="2482"/>
      <c r="R403" s="1987"/>
      <c r="S403" s="1987"/>
      <c r="T403" s="1987"/>
    </row>
    <row r="404" spans="1:20" ht="20.25" customHeight="1">
      <c r="A404" s="2482"/>
      <c r="B404" s="2482"/>
      <c r="C404" s="2483" t="s">
        <v>671</v>
      </c>
      <c r="D404" s="2482"/>
      <c r="E404" s="2482"/>
      <c r="F404" s="2482"/>
      <c r="G404" s="2482"/>
      <c r="H404" s="2482"/>
      <c r="I404" s="2482"/>
      <c r="J404" s="2482"/>
      <c r="K404" s="2482"/>
      <c r="L404" s="2483"/>
      <c r="M404" s="2482"/>
      <c r="N404" s="2482"/>
      <c r="O404" s="2482"/>
      <c r="P404" s="2482"/>
      <c r="Q404" s="2482"/>
      <c r="R404" s="1987"/>
      <c r="S404" s="1987"/>
      <c r="T404" s="1987"/>
    </row>
    <row r="405" spans="1:20" ht="20.25" customHeight="1">
      <c r="A405" s="2482"/>
      <c r="B405" s="2482"/>
      <c r="C405" s="2483" t="s">
        <v>672</v>
      </c>
      <c r="D405" s="2482"/>
      <c r="E405" s="2482"/>
      <c r="F405" s="2482"/>
      <c r="G405" s="2482"/>
      <c r="H405" s="2482"/>
      <c r="I405" s="2482"/>
      <c r="J405" s="2482"/>
      <c r="K405" s="2482"/>
      <c r="L405" s="2483"/>
      <c r="M405" s="2482"/>
      <c r="N405" s="2482"/>
      <c r="O405" s="2482"/>
      <c r="P405" s="2482"/>
      <c r="Q405" s="2482"/>
      <c r="R405" s="1987"/>
      <c r="S405" s="1987"/>
      <c r="T405" s="1987"/>
    </row>
    <row r="406" spans="1:20" ht="20.25" customHeight="1">
      <c r="A406" s="2482"/>
      <c r="B406" s="2482"/>
      <c r="C406" s="2483" t="s">
        <v>1996</v>
      </c>
      <c r="D406" s="2482"/>
      <c r="E406" s="2482"/>
      <c r="F406" s="2482"/>
      <c r="G406" s="2482"/>
      <c r="H406" s="2482"/>
      <c r="I406" s="2482"/>
      <c r="J406" s="2482"/>
      <c r="K406" s="2482"/>
      <c r="L406" s="2483"/>
      <c r="M406" s="2482"/>
      <c r="N406" s="2482"/>
      <c r="O406" s="2482"/>
      <c r="P406" s="2482"/>
      <c r="Q406" s="2482"/>
      <c r="R406" s="1987"/>
      <c r="S406" s="1987"/>
      <c r="T406" s="1987"/>
    </row>
    <row r="407" spans="1:20" ht="20.25" customHeight="1">
      <c r="A407" s="2482"/>
      <c r="B407" s="2482"/>
      <c r="C407" s="2483" t="s">
        <v>120</v>
      </c>
      <c r="D407" s="2482"/>
      <c r="E407" s="2482"/>
      <c r="F407" s="2482"/>
      <c r="G407" s="2482"/>
      <c r="H407" s="2482"/>
      <c r="I407" s="2482"/>
      <c r="J407" s="2482"/>
      <c r="K407" s="2482"/>
      <c r="L407" s="2483"/>
      <c r="M407" s="2482"/>
      <c r="N407" s="2482"/>
      <c r="O407" s="2482"/>
      <c r="P407" s="2482"/>
      <c r="Q407" s="2482"/>
      <c r="R407" s="1987"/>
      <c r="S407" s="1987"/>
      <c r="T407" s="1987"/>
    </row>
    <row r="408" spans="1:20" ht="20.25" customHeight="1">
      <c r="A408" s="2482"/>
      <c r="B408" s="2482"/>
      <c r="C408" s="2482" t="s">
        <v>118</v>
      </c>
      <c r="D408" s="2482"/>
      <c r="E408" s="2482"/>
      <c r="F408" s="2482"/>
      <c r="G408" s="2482"/>
      <c r="H408" s="2482"/>
      <c r="I408" s="2482"/>
      <c r="J408" s="2482"/>
      <c r="K408" s="2482"/>
      <c r="L408" s="2483"/>
      <c r="M408" s="2482"/>
      <c r="N408" s="2482"/>
      <c r="O408" s="2482"/>
      <c r="P408" s="2482"/>
      <c r="Q408" s="2482"/>
      <c r="R408" s="1987"/>
      <c r="S408" s="1987"/>
      <c r="T408" s="1987"/>
    </row>
    <row r="409" spans="1:20" ht="20.25" customHeight="1">
      <c r="A409" s="2482"/>
      <c r="B409" s="2482"/>
      <c r="C409" s="2482" t="s">
        <v>1736</v>
      </c>
      <c r="D409" s="2482"/>
      <c r="E409" s="2482"/>
      <c r="F409" s="2482"/>
      <c r="G409" s="2482"/>
      <c r="H409" s="2482"/>
      <c r="I409" s="2482"/>
      <c r="J409" s="2482"/>
      <c r="K409" s="2482"/>
      <c r="L409" s="2482"/>
      <c r="M409" s="2482"/>
      <c r="N409" s="2482"/>
      <c r="O409" s="2482"/>
      <c r="P409" s="2482"/>
      <c r="Q409" s="2482"/>
      <c r="R409" s="1987"/>
      <c r="S409" s="1987"/>
      <c r="T409" s="1987"/>
    </row>
    <row r="410" spans="1:20" ht="20.25" customHeight="1">
      <c r="A410" s="2482"/>
      <c r="B410" s="2482"/>
      <c r="C410" s="2483" t="s">
        <v>887</v>
      </c>
      <c r="D410" s="2482"/>
      <c r="E410" s="2482"/>
      <c r="F410" s="2482"/>
      <c r="G410" s="2482"/>
      <c r="H410" s="2482"/>
      <c r="I410" s="2482"/>
      <c r="J410" s="2482"/>
      <c r="K410" s="2482"/>
      <c r="L410" s="2483"/>
      <c r="M410" s="2482"/>
      <c r="N410" s="2482"/>
      <c r="O410" s="2482"/>
      <c r="P410" s="2482"/>
      <c r="Q410" s="2482"/>
      <c r="R410" s="1987"/>
      <c r="S410" s="1987"/>
      <c r="T410" s="1987"/>
    </row>
    <row r="411" spans="1:20" ht="20.25" customHeight="1">
      <c r="A411" s="2482"/>
      <c r="B411" s="2482"/>
      <c r="C411" s="2482" t="s">
        <v>119</v>
      </c>
      <c r="D411" s="2482"/>
      <c r="E411" s="2482"/>
      <c r="F411" s="2482"/>
      <c r="G411" s="2482"/>
      <c r="H411" s="2482"/>
      <c r="I411" s="2482"/>
      <c r="J411" s="2482"/>
      <c r="K411" s="2482"/>
      <c r="L411" s="2483"/>
      <c r="M411" s="2482"/>
      <c r="N411" s="2482"/>
      <c r="O411" s="2482"/>
      <c r="P411" s="2482"/>
      <c r="Q411" s="2482"/>
      <c r="R411" s="1987"/>
      <c r="S411" s="1987"/>
      <c r="T411" s="1987"/>
    </row>
    <row r="412" spans="1:20" ht="20.25" customHeight="1">
      <c r="A412" s="2482"/>
      <c r="B412" s="2482"/>
      <c r="C412" s="2482" t="s">
        <v>120</v>
      </c>
      <c r="D412" s="2482"/>
      <c r="E412" s="2482"/>
      <c r="F412" s="2482"/>
      <c r="G412" s="2482"/>
      <c r="H412" s="2482"/>
      <c r="I412" s="2482"/>
      <c r="J412" s="2482"/>
      <c r="K412" s="2482"/>
      <c r="L412" s="2483"/>
      <c r="M412" s="2482"/>
      <c r="N412" s="2482"/>
      <c r="O412" s="2482"/>
      <c r="P412" s="2482"/>
      <c r="Q412" s="2482"/>
      <c r="R412" s="1987"/>
      <c r="S412" s="1987"/>
      <c r="T412" s="1987"/>
    </row>
    <row r="413" spans="1:20" ht="20.25" customHeight="1">
      <c r="A413" s="2482"/>
      <c r="B413" s="2482"/>
      <c r="C413" s="2482" t="s">
        <v>121</v>
      </c>
      <c r="D413" s="2482"/>
      <c r="E413" s="2482"/>
      <c r="F413" s="2482"/>
      <c r="G413" s="2482"/>
      <c r="H413" s="2482"/>
      <c r="I413" s="2482"/>
      <c r="J413" s="2482"/>
      <c r="K413" s="2482"/>
      <c r="L413" s="2483"/>
      <c r="M413" s="2482"/>
      <c r="N413" s="2482"/>
      <c r="O413" s="2482"/>
      <c r="P413" s="2482"/>
      <c r="Q413" s="2482"/>
      <c r="R413" s="1987"/>
      <c r="S413" s="1987"/>
      <c r="T413" s="1987"/>
    </row>
    <row r="414" spans="1:20" ht="20.25" customHeight="1">
      <c r="A414" s="2482"/>
      <c r="B414" s="2482"/>
      <c r="C414" s="2482" t="s">
        <v>2432</v>
      </c>
      <c r="D414" s="2482"/>
      <c r="E414" s="2482"/>
      <c r="F414" s="2482"/>
      <c r="G414" s="2482"/>
      <c r="H414" s="2482"/>
      <c r="I414" s="2482"/>
      <c r="J414" s="2482"/>
      <c r="K414" s="2482"/>
      <c r="L414" s="2482"/>
      <c r="M414" s="2482"/>
      <c r="N414" s="2482"/>
      <c r="O414" s="2482"/>
      <c r="P414" s="2482"/>
      <c r="Q414" s="2482"/>
      <c r="R414" s="1987"/>
      <c r="S414" s="1987"/>
      <c r="T414" s="1987"/>
    </row>
    <row r="415" spans="1:20" ht="20.25" customHeight="1">
      <c r="A415" s="2482"/>
      <c r="B415" s="2482"/>
      <c r="C415" s="2483" t="s">
        <v>1860</v>
      </c>
      <c r="D415" s="2482"/>
      <c r="E415" s="2482"/>
      <c r="F415" s="2482"/>
      <c r="G415" s="2482"/>
      <c r="H415" s="2482"/>
      <c r="I415" s="2482"/>
      <c r="J415" s="2482"/>
      <c r="K415" s="2482"/>
      <c r="L415" s="2483"/>
      <c r="M415" s="2482"/>
      <c r="N415" s="2482"/>
      <c r="O415" s="2482"/>
      <c r="P415" s="2482"/>
      <c r="Q415" s="2482"/>
      <c r="R415" s="1987"/>
      <c r="S415" s="1987"/>
      <c r="T415" s="1987"/>
    </row>
    <row r="416" spans="1:20" ht="20.25" customHeight="1">
      <c r="A416" s="2482"/>
      <c r="B416" s="2482"/>
      <c r="C416" s="2482" t="s">
        <v>2433</v>
      </c>
      <c r="D416" s="2482"/>
      <c r="E416" s="2482"/>
      <c r="F416" s="2482"/>
      <c r="G416" s="2482"/>
      <c r="H416" s="2482"/>
      <c r="I416" s="2482"/>
      <c r="J416" s="2482"/>
      <c r="K416" s="2482"/>
      <c r="L416" s="2483"/>
      <c r="M416" s="2482"/>
      <c r="N416" s="2482"/>
      <c r="O416" s="2482"/>
      <c r="P416" s="2482"/>
      <c r="Q416" s="2482"/>
      <c r="R416" s="1987"/>
      <c r="S416" s="1987"/>
      <c r="T416" s="1987"/>
    </row>
    <row r="417" spans="1:28" ht="20.25" customHeight="1">
      <c r="A417" s="2482"/>
      <c r="B417" s="2482"/>
      <c r="C417" s="2482" t="s">
        <v>1302</v>
      </c>
      <c r="D417" s="2482"/>
      <c r="E417" s="2482"/>
      <c r="F417" s="2482"/>
      <c r="G417" s="2482"/>
      <c r="H417" s="2482"/>
      <c r="I417" s="2482"/>
      <c r="J417" s="2482"/>
      <c r="K417" s="2482"/>
      <c r="L417" s="2483"/>
      <c r="M417" s="2482"/>
      <c r="N417" s="2482"/>
      <c r="O417" s="2482"/>
      <c r="P417" s="2482"/>
      <c r="Q417" s="2482"/>
      <c r="R417" s="1987"/>
      <c r="S417" s="1987"/>
      <c r="T417" s="1987"/>
    </row>
    <row r="418" spans="1:28" ht="20.25" customHeight="1">
      <c r="A418" s="2482"/>
      <c r="B418" s="2482"/>
      <c r="C418" s="2482" t="s">
        <v>1483</v>
      </c>
      <c r="D418" s="2482"/>
      <c r="E418" s="2482"/>
      <c r="F418" s="2482"/>
      <c r="G418" s="2482"/>
      <c r="H418" s="2482"/>
      <c r="I418" s="2482"/>
      <c r="J418" s="2482"/>
      <c r="K418" s="2486" t="s">
        <v>433</v>
      </c>
      <c r="L418" s="2483"/>
      <c r="M418" s="2482"/>
      <c r="N418" s="2482"/>
      <c r="O418" s="2482"/>
      <c r="P418" s="2482"/>
      <c r="Q418" s="2482"/>
      <c r="R418" s="1987"/>
      <c r="S418" s="1987"/>
      <c r="T418" s="1987"/>
    </row>
    <row r="419" spans="1:28" ht="20.25" customHeight="1">
      <c r="A419" s="2482"/>
      <c r="B419" s="2482"/>
      <c r="C419" s="2482" t="s">
        <v>2434</v>
      </c>
      <c r="D419" s="2482"/>
      <c r="E419" s="2482"/>
      <c r="F419" s="2482"/>
      <c r="G419" s="2482"/>
      <c r="H419" s="2482"/>
      <c r="I419" s="2482"/>
      <c r="J419" s="2482"/>
      <c r="K419" s="2482" t="s">
        <v>1017</v>
      </c>
      <c r="L419" s="2483"/>
      <c r="M419" s="2482"/>
      <c r="N419" s="2482"/>
      <c r="O419" s="2482"/>
      <c r="P419" s="2482"/>
      <c r="Q419" s="2482"/>
      <c r="R419" s="1987"/>
      <c r="S419" s="1987"/>
      <c r="T419" s="1987"/>
    </row>
    <row r="420" spans="1:28" ht="20.25" customHeight="1">
      <c r="A420" s="2482"/>
      <c r="B420" s="2482"/>
      <c r="C420" s="2482" t="s">
        <v>2435</v>
      </c>
      <c r="D420" s="2482"/>
      <c r="E420" s="2482"/>
      <c r="F420" s="2482"/>
      <c r="G420" s="2482"/>
      <c r="H420" s="2482"/>
      <c r="I420" s="2482"/>
      <c r="J420" s="2482"/>
      <c r="K420" s="2482" t="s">
        <v>5027</v>
      </c>
      <c r="L420" s="2482"/>
      <c r="M420" s="2482"/>
      <c r="N420" s="2482"/>
      <c r="O420" s="2482"/>
      <c r="P420" s="2482"/>
      <c r="Q420" s="2482"/>
      <c r="R420" s="1987"/>
      <c r="S420" s="1987"/>
      <c r="T420" s="1987"/>
    </row>
    <row r="421" spans="1:28" ht="20.25" customHeight="1">
      <c r="A421" s="2482"/>
      <c r="B421" s="2482"/>
      <c r="C421" s="2483" t="s">
        <v>1129</v>
      </c>
      <c r="D421" s="2482"/>
      <c r="E421" s="2482"/>
      <c r="F421" s="2482"/>
      <c r="G421" s="2482"/>
      <c r="H421" s="2482"/>
      <c r="I421" s="2482"/>
      <c r="J421" s="2482"/>
      <c r="K421" s="2482" t="s">
        <v>4100</v>
      </c>
      <c r="L421" s="2482"/>
      <c r="M421" s="2482"/>
      <c r="N421" s="2482"/>
      <c r="O421" s="2482"/>
      <c r="P421" s="2482"/>
      <c r="Q421" s="2482"/>
      <c r="R421" s="1987"/>
      <c r="S421" s="1987"/>
      <c r="T421" s="1987"/>
    </row>
    <row r="422" spans="1:28" ht="20.25" customHeight="1">
      <c r="A422" s="2482"/>
      <c r="B422" s="2482"/>
      <c r="C422" s="2482"/>
      <c r="D422" s="2482"/>
      <c r="E422" s="2482"/>
      <c r="F422" s="2482"/>
      <c r="G422" s="2482"/>
      <c r="H422" s="2482"/>
      <c r="I422" s="2482"/>
      <c r="J422" s="2482"/>
      <c r="K422" s="2482"/>
      <c r="L422" s="2482"/>
      <c r="M422" s="2482"/>
      <c r="N422" s="2482"/>
      <c r="O422" s="2482"/>
      <c r="P422" s="2482"/>
      <c r="Q422" s="2482"/>
      <c r="R422" s="1987"/>
      <c r="S422" s="1987"/>
      <c r="T422" s="1987"/>
    </row>
    <row r="423" spans="1:28" ht="20.25" customHeight="1">
      <c r="A423" s="2482"/>
      <c r="B423" s="2482"/>
      <c r="C423" s="2486" t="s">
        <v>244</v>
      </c>
      <c r="D423" s="2482"/>
      <c r="E423" s="2482"/>
      <c r="F423" s="2482"/>
      <c r="G423" s="2482"/>
      <c r="H423" s="2482"/>
      <c r="I423" s="2482"/>
      <c r="J423" s="2482"/>
      <c r="K423" s="2486" t="s">
        <v>2067</v>
      </c>
      <c r="L423" s="2482"/>
      <c r="M423" s="2482"/>
      <c r="N423" s="2482"/>
      <c r="O423" s="2482"/>
      <c r="P423" s="2482"/>
      <c r="Q423" s="2482"/>
      <c r="R423" s="1987"/>
      <c r="S423" s="1987"/>
      <c r="T423" s="1987"/>
    </row>
    <row r="424" spans="1:28" ht="20.25" customHeight="1">
      <c r="A424" s="2482"/>
      <c r="B424" s="2482"/>
      <c r="C424" s="2482" t="s">
        <v>1018</v>
      </c>
      <c r="D424" s="2482"/>
      <c r="E424" s="2482"/>
      <c r="F424" s="2482"/>
      <c r="G424" s="2482"/>
      <c r="H424" s="2482"/>
      <c r="I424" s="2482"/>
      <c r="J424" s="2482"/>
      <c r="K424" s="2482" t="s">
        <v>2141</v>
      </c>
      <c r="L424" s="2482"/>
      <c r="M424" s="2482"/>
      <c r="N424" s="2482"/>
      <c r="O424" s="2482"/>
      <c r="P424" s="2482"/>
      <c r="Q424" s="2482"/>
      <c r="R424" s="1987"/>
      <c r="S424" s="1987"/>
      <c r="T424" s="1987"/>
    </row>
    <row r="425" spans="1:28" ht="20.25" customHeight="1">
      <c r="A425" s="2482"/>
      <c r="B425" s="2482"/>
      <c r="C425" s="2482" t="s">
        <v>163</v>
      </c>
      <c r="D425" s="2482"/>
      <c r="E425" s="2482"/>
      <c r="F425" s="2482"/>
      <c r="G425" s="2482"/>
      <c r="H425" s="2482"/>
      <c r="I425" s="2482"/>
      <c r="J425" s="2482"/>
      <c r="K425" s="2482" t="s">
        <v>5028</v>
      </c>
      <c r="L425" s="2482"/>
      <c r="M425" s="2482"/>
      <c r="N425" s="2482"/>
      <c r="O425" s="2482"/>
      <c r="P425" s="2482"/>
      <c r="Q425" s="2482"/>
      <c r="R425" s="1987"/>
      <c r="S425" s="1987"/>
      <c r="T425" s="1987"/>
    </row>
    <row r="426" spans="1:28" ht="20.25" customHeight="1">
      <c r="A426" s="2482"/>
      <c r="B426" s="2482"/>
      <c r="C426" s="2482" t="s">
        <v>1427</v>
      </c>
      <c r="D426" s="2482"/>
      <c r="E426" s="2482"/>
      <c r="F426" s="2482"/>
      <c r="G426" s="2482"/>
      <c r="H426" s="2482"/>
      <c r="I426" s="2482"/>
      <c r="J426" s="2482"/>
      <c r="K426" s="2482" t="s">
        <v>5029</v>
      </c>
      <c r="L426" s="2482"/>
      <c r="M426" s="2482"/>
      <c r="N426" s="2482"/>
      <c r="O426" s="2482"/>
      <c r="P426" s="2482"/>
      <c r="Q426" s="2482"/>
      <c r="R426" s="1987"/>
      <c r="S426" s="1987"/>
      <c r="T426" s="1987"/>
    </row>
    <row r="427" spans="1:28" ht="20.25" customHeight="1">
      <c r="A427" s="2482"/>
      <c r="B427" s="2482"/>
      <c r="C427" s="2482" t="s">
        <v>1960</v>
      </c>
      <c r="D427" s="2482"/>
      <c r="E427" s="2482"/>
      <c r="F427" s="2482"/>
      <c r="G427" s="2482"/>
      <c r="H427" s="2482"/>
      <c r="I427" s="2482"/>
      <c r="J427" s="2482"/>
      <c r="K427" s="2482" t="s">
        <v>5030</v>
      </c>
      <c r="L427" s="2482"/>
      <c r="M427" s="2482"/>
      <c r="N427" s="2482"/>
      <c r="O427" s="2482"/>
      <c r="P427" s="2482"/>
      <c r="Q427" s="2482"/>
      <c r="R427" s="1987"/>
      <c r="S427" s="1987"/>
      <c r="T427" s="1987"/>
    </row>
    <row r="428" spans="1:28" ht="20.25" customHeight="1">
      <c r="A428" s="2482"/>
      <c r="B428" s="2482"/>
      <c r="C428" s="2482" t="s">
        <v>162</v>
      </c>
      <c r="D428" s="2482"/>
      <c r="E428" s="2482"/>
      <c r="F428" s="2482"/>
      <c r="G428" s="2482"/>
      <c r="H428" s="2482"/>
      <c r="I428" s="2482"/>
      <c r="J428" s="2482"/>
      <c r="K428" s="2482" t="s">
        <v>5031</v>
      </c>
      <c r="L428" s="2482"/>
      <c r="M428" s="2482"/>
      <c r="N428" s="2482"/>
      <c r="O428" s="2482"/>
      <c r="P428" s="2482"/>
      <c r="Q428" s="2482"/>
      <c r="R428" s="1987"/>
      <c r="S428" s="1987"/>
      <c r="T428" s="1987"/>
    </row>
    <row r="429" spans="1:28" ht="20.25" customHeight="1">
      <c r="A429" s="2482"/>
      <c r="B429" s="2482"/>
      <c r="C429" s="2482"/>
      <c r="D429" s="2482"/>
      <c r="E429" s="2482"/>
      <c r="F429" s="2482"/>
      <c r="G429" s="2482"/>
      <c r="H429" s="2482"/>
      <c r="I429" s="2482"/>
      <c r="J429" s="2482"/>
      <c r="K429" s="2486" t="s">
        <v>1804</v>
      </c>
      <c r="L429" s="2482"/>
      <c r="M429" s="2482"/>
      <c r="N429" s="2482"/>
      <c r="O429" s="2482"/>
      <c r="P429" s="2482"/>
      <c r="Q429" s="2482"/>
      <c r="R429" s="1987"/>
      <c r="S429" s="1987"/>
      <c r="T429" s="1987"/>
    </row>
    <row r="430" spans="1:28" s="1933" customFormat="1" ht="20.25" customHeight="1">
      <c r="D430" s="2482"/>
      <c r="E430" s="2482"/>
      <c r="F430" s="2482"/>
      <c r="G430" s="2482"/>
      <c r="H430" s="2482"/>
      <c r="I430" s="2482"/>
      <c r="J430" s="2482"/>
      <c r="K430" s="2482" t="s">
        <v>1016</v>
      </c>
      <c r="L430" s="2482"/>
      <c r="M430" s="2482"/>
      <c r="N430" s="2482"/>
      <c r="O430" s="2482"/>
      <c r="P430" s="2482"/>
      <c r="Q430" s="2482"/>
      <c r="R430" s="1987"/>
      <c r="S430" s="1987"/>
      <c r="T430" s="1987"/>
      <c r="U430" s="1987"/>
      <c r="V430" s="1987"/>
      <c r="W430" s="1987"/>
      <c r="X430" s="1987"/>
      <c r="Y430" s="1987"/>
      <c r="Z430" s="1987"/>
      <c r="AA430" s="2489"/>
      <c r="AB430" s="1987"/>
    </row>
    <row r="431" spans="1:28" s="1933" customFormat="1" ht="20.25" customHeight="1">
      <c r="D431" s="2482"/>
      <c r="E431" s="2482"/>
      <c r="F431" s="2482"/>
      <c r="G431" s="2482"/>
      <c r="H431" s="2482"/>
      <c r="I431" s="2482"/>
      <c r="J431" s="2482"/>
      <c r="K431" s="2482" t="s">
        <v>1625</v>
      </c>
      <c r="L431" s="2482"/>
      <c r="M431" s="2482"/>
      <c r="N431" s="2482"/>
      <c r="O431" s="2482"/>
      <c r="P431" s="2482"/>
      <c r="Q431" s="2482"/>
      <c r="R431" s="1987"/>
      <c r="S431" s="1987"/>
      <c r="T431" s="1987"/>
      <c r="U431" s="1987"/>
      <c r="V431" s="1987"/>
      <c r="W431" s="1987"/>
      <c r="X431" s="1987"/>
      <c r="Y431" s="1987"/>
      <c r="Z431" s="1987"/>
      <c r="AA431" s="2489"/>
      <c r="AB431" s="1987"/>
    </row>
    <row r="432" spans="1:28" s="1933" customFormat="1" ht="20.25" customHeight="1">
      <c r="D432" s="2482"/>
      <c r="E432" s="2482"/>
      <c r="F432" s="2482"/>
      <c r="G432" s="2482"/>
      <c r="H432" s="2482"/>
      <c r="I432" s="2482"/>
      <c r="J432" s="2482"/>
      <c r="K432" s="2482" t="s">
        <v>1066</v>
      </c>
      <c r="L432" s="2482"/>
      <c r="M432" s="2482"/>
      <c r="N432" s="2482"/>
      <c r="O432" s="2482"/>
      <c r="P432" s="2482"/>
      <c r="Q432" s="2482"/>
      <c r="R432" s="1987"/>
      <c r="S432" s="1987"/>
      <c r="T432" s="1987"/>
      <c r="U432" s="1987"/>
      <c r="V432" s="1987"/>
      <c r="W432" s="1987"/>
      <c r="X432" s="1987"/>
      <c r="Y432" s="1987"/>
      <c r="Z432" s="1987"/>
      <c r="AA432" s="2489"/>
      <c r="AB432" s="1987"/>
    </row>
    <row r="433" spans="2:28" s="1933" customFormat="1" ht="20.25" customHeight="1">
      <c r="D433" s="2482"/>
      <c r="E433" s="2482"/>
      <c r="F433" s="2482"/>
      <c r="G433" s="2482"/>
      <c r="H433" s="2482"/>
      <c r="I433" s="2482"/>
      <c r="J433" s="2482"/>
      <c r="K433" s="2482" t="s">
        <v>1626</v>
      </c>
      <c r="L433" s="2482"/>
      <c r="M433" s="2482"/>
      <c r="N433" s="2482"/>
      <c r="O433" s="2482"/>
      <c r="P433" s="2482"/>
      <c r="Q433" s="2482"/>
      <c r="R433" s="1987"/>
      <c r="S433" s="1987"/>
      <c r="T433" s="1987"/>
      <c r="U433" s="1987"/>
      <c r="V433" s="1987"/>
      <c r="W433" s="1987"/>
      <c r="X433" s="1987"/>
      <c r="Y433" s="1987"/>
      <c r="Z433" s="1987"/>
      <c r="AA433" s="2489"/>
      <c r="AB433" s="1987"/>
    </row>
    <row r="434" spans="2:28" s="1933" customFormat="1" ht="20.25" customHeight="1">
      <c r="D434" s="2482"/>
      <c r="E434" s="2482"/>
      <c r="F434" s="2482"/>
      <c r="G434" s="2482"/>
      <c r="H434" s="2482"/>
      <c r="I434" s="2482"/>
      <c r="J434" s="2482"/>
      <c r="K434" s="2482" t="s">
        <v>2179</v>
      </c>
      <c r="L434" s="2482"/>
      <c r="M434" s="2482"/>
      <c r="N434" s="2482"/>
      <c r="O434" s="2482"/>
      <c r="P434" s="2482"/>
      <c r="Q434" s="2482"/>
      <c r="R434" s="1987"/>
      <c r="S434" s="1987"/>
      <c r="T434" s="1987"/>
      <c r="U434" s="1987"/>
      <c r="V434" s="1987"/>
      <c r="W434" s="1987"/>
      <c r="X434" s="1987"/>
      <c r="Y434" s="1987"/>
      <c r="Z434" s="1987"/>
      <c r="AA434" s="2489"/>
      <c r="AB434" s="1987"/>
    </row>
    <row r="435" spans="2:28" s="1933" customFormat="1" ht="20.25" customHeight="1">
      <c r="B435" s="2482"/>
      <c r="C435" s="2482"/>
      <c r="D435" s="2482"/>
      <c r="E435" s="2482"/>
      <c r="F435" s="2482"/>
      <c r="G435" s="2482"/>
      <c r="H435" s="2482"/>
      <c r="I435" s="2482"/>
      <c r="J435" s="2482"/>
      <c r="K435" s="2482"/>
      <c r="L435" s="2482"/>
      <c r="M435" s="2482"/>
      <c r="N435" s="2482"/>
      <c r="O435" s="2482"/>
      <c r="P435" s="2482"/>
      <c r="Q435" s="2482"/>
      <c r="R435" s="1987"/>
      <c r="S435" s="1987"/>
      <c r="T435" s="1987"/>
      <c r="U435" s="1987"/>
      <c r="V435" s="1987"/>
      <c r="W435" s="1987"/>
      <c r="X435" s="1987"/>
      <c r="Y435" s="1987"/>
      <c r="Z435" s="1987"/>
      <c r="AA435" s="2489"/>
      <c r="AB435" s="1987"/>
    </row>
    <row r="436" spans="2:28" s="1933" customFormat="1" ht="20.25" customHeight="1">
      <c r="B436" s="2482"/>
      <c r="C436" s="2486" t="s">
        <v>950</v>
      </c>
      <c r="D436" s="2482"/>
      <c r="E436" s="2482"/>
      <c r="F436" s="2482"/>
      <c r="G436" s="2482"/>
      <c r="H436" s="2482"/>
      <c r="I436" s="2482"/>
      <c r="J436" s="2482"/>
      <c r="K436" s="2482"/>
      <c r="L436" s="2482"/>
      <c r="M436" s="2486" t="s">
        <v>3729</v>
      </c>
      <c r="N436" s="2482"/>
      <c r="O436" s="2482"/>
      <c r="P436" s="2482"/>
      <c r="Q436" s="2482"/>
      <c r="R436" s="1987"/>
      <c r="S436" s="1987"/>
      <c r="T436" s="1987"/>
      <c r="U436" s="1987"/>
      <c r="V436" s="1987"/>
      <c r="W436" s="1987"/>
      <c r="X436" s="1987"/>
      <c r="Y436" s="1987"/>
      <c r="Z436" s="1987"/>
      <c r="AA436" s="2489"/>
      <c r="AB436" s="1987"/>
    </row>
    <row r="437" spans="2:28" s="1933" customFormat="1" ht="20.25" customHeight="1">
      <c r="B437" s="2482"/>
      <c r="C437" s="2482" t="s">
        <v>949</v>
      </c>
      <c r="D437" s="2482"/>
      <c r="E437" s="2482"/>
      <c r="F437" s="2482"/>
      <c r="G437" s="2482"/>
      <c r="H437" s="2482"/>
      <c r="I437" s="2482"/>
      <c r="J437" s="2482"/>
      <c r="K437" s="2482"/>
      <c r="L437" s="2482"/>
      <c r="M437" s="2482" t="s">
        <v>949</v>
      </c>
      <c r="N437" s="2482"/>
      <c r="O437" s="2482"/>
      <c r="P437" s="2482"/>
      <c r="Q437" s="2482"/>
      <c r="R437" s="1987"/>
      <c r="S437" s="1987"/>
      <c r="T437" s="1987"/>
      <c r="U437" s="1987"/>
      <c r="V437" s="1987"/>
      <c r="W437" s="1987"/>
      <c r="X437" s="1987"/>
      <c r="Y437" s="1987"/>
      <c r="Z437" s="1987"/>
      <c r="AA437" s="2489"/>
      <c r="AB437" s="1987"/>
    </row>
    <row r="438" spans="2:28" s="1933" customFormat="1" ht="20.25" customHeight="1">
      <c r="B438" s="2482"/>
      <c r="C438" s="2482" t="s">
        <v>1933</v>
      </c>
      <c r="D438" s="2482"/>
      <c r="E438" s="2482"/>
      <c r="F438" s="2482"/>
      <c r="G438" s="2482"/>
      <c r="H438" s="2482"/>
      <c r="I438" s="2482"/>
      <c r="J438" s="2482"/>
      <c r="K438" s="2482"/>
      <c r="L438" s="2482"/>
      <c r="M438" s="2482" t="s">
        <v>3726</v>
      </c>
      <c r="N438" s="2482"/>
      <c r="O438" s="2482"/>
      <c r="P438" s="2482"/>
      <c r="Q438" s="2482"/>
      <c r="R438" s="1987"/>
      <c r="S438" s="1987"/>
      <c r="T438" s="1987"/>
      <c r="U438" s="1987"/>
      <c r="V438" s="1987"/>
      <c r="W438" s="1987"/>
      <c r="X438" s="1987"/>
      <c r="Y438" s="1987"/>
      <c r="Z438" s="1987"/>
      <c r="AA438" s="2489"/>
      <c r="AB438" s="1987"/>
    </row>
    <row r="439" spans="2:28" s="1933" customFormat="1" ht="20.25" customHeight="1">
      <c r="B439" s="2482"/>
      <c r="C439" s="2482" t="s">
        <v>2335</v>
      </c>
      <c r="D439" s="2482"/>
      <c r="E439" s="2482"/>
      <c r="F439" s="2482"/>
      <c r="G439" s="2482"/>
      <c r="H439" s="2482"/>
      <c r="I439" s="2482"/>
      <c r="J439" s="2482"/>
      <c r="K439" s="2482"/>
      <c r="L439" s="2482"/>
      <c r="M439" s="2482" t="s">
        <v>3757</v>
      </c>
      <c r="N439" s="2482"/>
      <c r="O439" s="2482"/>
      <c r="P439" s="2482"/>
      <c r="Q439" s="2482"/>
      <c r="R439" s="1987"/>
      <c r="S439" s="1987"/>
      <c r="T439" s="1987"/>
      <c r="U439" s="1987"/>
      <c r="V439" s="1987"/>
      <c r="W439" s="1987"/>
      <c r="X439" s="1987"/>
      <c r="Y439" s="1987"/>
      <c r="Z439" s="1987"/>
      <c r="AA439" s="2489"/>
      <c r="AB439" s="1987"/>
    </row>
    <row r="440" spans="2:28" s="1933" customFormat="1" ht="20.25" customHeight="1">
      <c r="B440" s="2482"/>
      <c r="C440" s="2482" t="s">
        <v>1934</v>
      </c>
      <c r="D440" s="2482"/>
      <c r="E440" s="2482"/>
      <c r="F440" s="2482"/>
      <c r="G440" s="2482"/>
      <c r="H440" s="2482"/>
      <c r="I440" s="2482"/>
      <c r="J440" s="2482"/>
      <c r="K440" s="2482"/>
      <c r="L440" s="2482"/>
      <c r="M440" s="2482" t="s">
        <v>1538</v>
      </c>
      <c r="N440" s="2482"/>
      <c r="O440" s="2482"/>
      <c r="P440" s="2482"/>
      <c r="Q440" s="2482"/>
      <c r="R440" s="1987"/>
      <c r="S440" s="1987"/>
      <c r="T440" s="1987"/>
      <c r="U440" s="1987"/>
      <c r="V440" s="1987"/>
      <c r="W440" s="1987"/>
      <c r="X440" s="1987"/>
      <c r="Y440" s="1987"/>
      <c r="Z440" s="1987"/>
      <c r="AA440" s="2489"/>
      <c r="AB440" s="1987"/>
    </row>
    <row r="441" spans="2:28" s="1933" customFormat="1" ht="20.25" customHeight="1">
      <c r="B441" s="2482"/>
      <c r="C441" s="2482" t="s">
        <v>1805</v>
      </c>
      <c r="D441" s="2482"/>
      <c r="E441" s="2482"/>
      <c r="F441" s="2482"/>
      <c r="G441" s="2482"/>
      <c r="H441" s="2482"/>
      <c r="I441" s="2482"/>
      <c r="J441" s="2482"/>
      <c r="K441" s="2482"/>
      <c r="L441" s="2482"/>
      <c r="M441" s="2482" t="s">
        <v>3727</v>
      </c>
      <c r="N441" s="2482"/>
      <c r="O441" s="2482"/>
      <c r="P441" s="2482"/>
      <c r="Q441" s="2482"/>
      <c r="R441" s="1987"/>
      <c r="S441" s="1987"/>
      <c r="T441" s="1987"/>
      <c r="U441" s="1987"/>
      <c r="V441" s="1987"/>
      <c r="W441" s="1987"/>
      <c r="X441" s="1987"/>
      <c r="Y441" s="1987"/>
      <c r="Z441" s="1987"/>
      <c r="AA441" s="2489"/>
      <c r="AB441" s="1987"/>
    </row>
    <row r="442" spans="2:28" s="1933" customFormat="1" ht="20.25" customHeight="1">
      <c r="B442" s="2482"/>
      <c r="C442" s="2482" t="s">
        <v>547</v>
      </c>
      <c r="D442" s="2482"/>
      <c r="E442" s="2482"/>
      <c r="F442" s="2482"/>
      <c r="G442" s="2482"/>
      <c r="H442" s="2482"/>
      <c r="I442" s="2482"/>
      <c r="J442" s="2482"/>
      <c r="K442" s="2482"/>
      <c r="L442" s="2482"/>
      <c r="M442" s="2482" t="s">
        <v>3776</v>
      </c>
      <c r="N442" s="2482"/>
      <c r="O442" s="2482"/>
      <c r="P442" s="2482"/>
      <c r="Q442" s="2482"/>
      <c r="R442" s="1987"/>
      <c r="S442" s="1987"/>
      <c r="T442" s="1987"/>
      <c r="U442" s="1987"/>
      <c r="V442" s="1987"/>
      <c r="W442" s="1987"/>
      <c r="X442" s="1987"/>
      <c r="Y442" s="1987"/>
      <c r="Z442" s="1987"/>
      <c r="AA442" s="2489"/>
      <c r="AB442" s="1987"/>
    </row>
    <row r="443" spans="2:28" s="1933" customFormat="1" ht="20.25" customHeight="1">
      <c r="B443" s="2482"/>
      <c r="C443" s="2482" t="s">
        <v>2030</v>
      </c>
      <c r="D443" s="2482"/>
      <c r="E443" s="2482"/>
      <c r="F443" s="2482"/>
      <c r="G443" s="2482"/>
      <c r="H443" s="2482"/>
      <c r="I443" s="2482"/>
      <c r="J443" s="2482"/>
      <c r="K443" s="2482"/>
      <c r="L443" s="2482"/>
      <c r="M443" s="2482" t="s">
        <v>3777</v>
      </c>
      <c r="N443" s="2482"/>
      <c r="O443" s="2482"/>
      <c r="P443" s="2482"/>
      <c r="Q443" s="2482"/>
      <c r="R443" s="1987"/>
      <c r="S443" s="1987"/>
      <c r="T443" s="1987"/>
      <c r="U443" s="1987"/>
      <c r="V443" s="1987"/>
      <c r="W443" s="1987"/>
      <c r="X443" s="1987"/>
      <c r="Y443" s="1987"/>
      <c r="Z443" s="1987"/>
      <c r="AA443" s="2489"/>
      <c r="AB443" s="1987"/>
    </row>
    <row r="444" spans="2:28" s="1933" customFormat="1" ht="20.25" customHeight="1">
      <c r="B444" s="2482"/>
      <c r="C444" s="2482" t="s">
        <v>30</v>
      </c>
      <c r="D444" s="2482"/>
      <c r="E444" s="2482"/>
      <c r="F444" s="2482"/>
      <c r="G444" s="2482"/>
      <c r="H444" s="2482"/>
      <c r="I444" s="2482"/>
      <c r="J444" s="2482"/>
      <c r="K444" s="2482"/>
      <c r="L444" s="2482"/>
      <c r="M444" s="2482" t="s">
        <v>3728</v>
      </c>
      <c r="N444" s="2482"/>
      <c r="O444" s="2482"/>
      <c r="P444" s="2482"/>
      <c r="Q444" s="2482"/>
      <c r="R444" s="1987"/>
      <c r="S444" s="1987"/>
      <c r="T444" s="1987"/>
      <c r="U444" s="1987"/>
      <c r="V444" s="1987"/>
      <c r="W444" s="1987"/>
      <c r="X444" s="1987"/>
      <c r="Y444" s="1987"/>
      <c r="Z444" s="1987"/>
      <c r="AA444" s="2489"/>
      <c r="AB444" s="1987"/>
    </row>
    <row r="445" spans="2:28" s="1933" customFormat="1" ht="20.25" customHeight="1">
      <c r="D445" s="2482"/>
      <c r="E445" s="2482"/>
      <c r="F445" s="2482"/>
      <c r="G445" s="2482"/>
      <c r="H445" s="2482"/>
      <c r="I445" s="2482"/>
      <c r="J445" s="2482"/>
      <c r="K445" s="2482"/>
      <c r="L445" s="2482"/>
      <c r="M445" s="2482" t="s">
        <v>1947</v>
      </c>
      <c r="N445" s="2482"/>
      <c r="O445" s="2482"/>
      <c r="P445" s="2482"/>
      <c r="Q445" s="2482"/>
      <c r="R445" s="1987"/>
      <c r="S445" s="1987"/>
      <c r="T445" s="1987"/>
      <c r="U445" s="1987"/>
      <c r="V445" s="1987"/>
      <c r="W445" s="1987"/>
      <c r="X445" s="1987"/>
      <c r="Y445" s="1987"/>
      <c r="Z445" s="1987"/>
      <c r="AA445" s="2489"/>
      <c r="AB445" s="1987"/>
    </row>
    <row r="446" spans="2:28" s="1933" customFormat="1" ht="20.25" customHeight="1">
      <c r="D446" s="2482"/>
      <c r="E446" s="2482"/>
      <c r="F446" s="2482"/>
      <c r="G446" s="2482"/>
      <c r="H446" s="2482"/>
      <c r="I446" s="2482"/>
      <c r="J446" s="2482"/>
      <c r="K446" s="2482"/>
      <c r="L446" s="2482"/>
      <c r="M446" s="2482" t="s">
        <v>5032</v>
      </c>
      <c r="N446" s="2482"/>
      <c r="O446" s="2482"/>
      <c r="P446" s="2482"/>
      <c r="Q446" s="2482"/>
      <c r="R446" s="1987"/>
      <c r="S446" s="1987"/>
      <c r="T446" s="1987"/>
      <c r="U446" s="1987"/>
      <c r="V446" s="1987"/>
      <c r="W446" s="1987"/>
      <c r="X446" s="1987"/>
      <c r="Y446" s="1987"/>
      <c r="Z446" s="1987"/>
      <c r="AA446" s="2489"/>
      <c r="AB446" s="1987"/>
    </row>
    <row r="447" spans="2:28" s="1933" customFormat="1" ht="20.25" customHeight="1">
      <c r="D447" s="2482"/>
      <c r="E447" s="2482"/>
      <c r="F447" s="2482"/>
      <c r="G447" s="2482"/>
      <c r="H447" s="2482"/>
      <c r="I447" s="2482"/>
      <c r="J447" s="2482"/>
      <c r="K447" s="2482"/>
      <c r="L447" s="2482"/>
      <c r="M447" s="2482"/>
      <c r="N447" s="2482"/>
      <c r="O447" s="2482"/>
      <c r="P447" s="2482"/>
      <c r="Q447" s="2482"/>
      <c r="R447" s="1987"/>
      <c r="S447" s="1987"/>
      <c r="T447" s="1987"/>
      <c r="U447" s="1987"/>
      <c r="V447" s="1987"/>
      <c r="W447" s="1987"/>
      <c r="X447" s="1987"/>
      <c r="Y447" s="1987"/>
      <c r="Z447" s="1987"/>
      <c r="AA447" s="2489"/>
      <c r="AB447" s="1987"/>
    </row>
    <row r="448" spans="2:28" s="1933" customFormat="1" ht="20.25" customHeight="1">
      <c r="D448" s="2482"/>
      <c r="E448" s="2482"/>
      <c r="F448" s="2482"/>
      <c r="G448" s="2482"/>
      <c r="H448" s="2482"/>
      <c r="I448" s="2482"/>
      <c r="J448" s="2482"/>
      <c r="K448" s="2482"/>
      <c r="L448" s="2482"/>
      <c r="M448" s="2487" t="s">
        <v>297</v>
      </c>
      <c r="N448" s="2482"/>
      <c r="O448" s="2482"/>
      <c r="P448" s="2482"/>
      <c r="Q448" s="2482"/>
      <c r="R448" s="1987"/>
      <c r="S448" s="1987"/>
      <c r="T448" s="1987"/>
      <c r="U448" s="1987"/>
      <c r="V448" s="1987"/>
      <c r="W448" s="1987"/>
      <c r="X448" s="1987"/>
      <c r="Y448" s="1987"/>
      <c r="Z448" s="1987"/>
      <c r="AA448" s="2489"/>
      <c r="AB448" s="1987"/>
    </row>
    <row r="449" spans="4:28" s="1933" customFormat="1" ht="20.25" customHeight="1">
      <c r="D449" s="2482"/>
      <c r="E449" s="2482"/>
      <c r="F449" s="2482"/>
      <c r="G449" s="2482"/>
      <c r="H449" s="2482"/>
      <c r="I449" s="2482"/>
      <c r="J449" s="2482"/>
      <c r="K449" s="2482"/>
      <c r="L449" s="2482"/>
      <c r="M449" s="2482" t="s">
        <v>3250</v>
      </c>
      <c r="N449" s="2482"/>
      <c r="O449" s="2482"/>
      <c r="P449" s="2482"/>
      <c r="Q449" s="2482"/>
      <c r="R449" s="1987"/>
      <c r="S449" s="1987"/>
      <c r="T449" s="1987"/>
      <c r="U449" s="1987"/>
      <c r="V449" s="1987"/>
      <c r="W449" s="1987"/>
      <c r="X449" s="1987"/>
      <c r="Y449" s="1987"/>
      <c r="Z449" s="1987"/>
      <c r="AA449" s="2489"/>
      <c r="AB449" s="1987"/>
    </row>
    <row r="450" spans="4:28" s="1933" customFormat="1" ht="20.25" customHeight="1">
      <c r="D450" s="2482"/>
      <c r="E450" s="2482"/>
      <c r="F450" s="2482"/>
      <c r="G450" s="2482"/>
      <c r="H450" s="2482"/>
      <c r="I450" s="2482"/>
      <c r="J450" s="2482"/>
      <c r="K450" s="2482"/>
      <c r="L450" s="2482"/>
      <c r="M450" s="2482" t="s">
        <v>3171</v>
      </c>
      <c r="N450" s="2482"/>
      <c r="O450" s="2482"/>
      <c r="P450" s="2482"/>
      <c r="Q450" s="2482"/>
      <c r="R450" s="1987"/>
      <c r="S450" s="1987"/>
      <c r="T450" s="1987"/>
      <c r="U450" s="1987"/>
      <c r="V450" s="1987"/>
      <c r="W450" s="1987"/>
      <c r="X450" s="1987"/>
      <c r="Y450" s="1987"/>
      <c r="Z450" s="1987"/>
      <c r="AA450" s="2489"/>
      <c r="AB450" s="1987"/>
    </row>
    <row r="451" spans="4:28" s="1933" customFormat="1" ht="20.25" customHeight="1">
      <c r="D451" s="2482"/>
      <c r="E451" s="2482"/>
      <c r="F451" s="2482"/>
      <c r="G451" s="2482"/>
      <c r="H451" s="2482"/>
      <c r="I451" s="2482"/>
      <c r="J451" s="2482"/>
      <c r="K451" s="2482"/>
      <c r="L451" s="2482"/>
      <c r="M451" s="2482" t="s">
        <v>5043</v>
      </c>
      <c r="N451" s="2482"/>
      <c r="O451" s="2482"/>
      <c r="P451" s="2482"/>
      <c r="Q451" s="2482"/>
      <c r="R451" s="1987"/>
      <c r="S451" s="1987"/>
      <c r="T451" s="1987"/>
      <c r="U451" s="1987"/>
      <c r="V451" s="1987"/>
      <c r="W451" s="1987"/>
      <c r="X451" s="1987"/>
      <c r="Y451" s="1987"/>
      <c r="Z451" s="1987"/>
      <c r="AA451" s="2489"/>
      <c r="AB451" s="1987"/>
    </row>
    <row r="452" spans="4:28" s="1933" customFormat="1" ht="20.25" customHeight="1">
      <c r="D452" s="2482"/>
      <c r="E452" s="2482"/>
      <c r="F452" s="2482"/>
      <c r="G452" s="2482"/>
      <c r="H452" s="2482"/>
      <c r="I452" s="2482"/>
      <c r="J452" s="2482"/>
      <c r="K452" s="2482"/>
      <c r="L452" s="2482"/>
      <c r="M452" s="2482" t="s">
        <v>3172</v>
      </c>
      <c r="N452" s="2482"/>
      <c r="O452" s="2482"/>
      <c r="P452" s="2482"/>
      <c r="Q452" s="2482"/>
      <c r="R452" s="1987"/>
      <c r="S452" s="1987"/>
      <c r="T452" s="1987"/>
      <c r="U452" s="1987"/>
      <c r="V452" s="1987"/>
      <c r="W452" s="1987"/>
      <c r="X452" s="1987"/>
      <c r="Y452" s="1987"/>
      <c r="Z452" s="1987"/>
      <c r="AA452" s="2489"/>
      <c r="AB452" s="1987"/>
    </row>
    <row r="453" spans="4:28" s="1933" customFormat="1" ht="20.25" customHeight="1">
      <c r="D453" s="2487" t="s">
        <v>1883</v>
      </c>
      <c r="E453" s="2482"/>
      <c r="F453" s="2482"/>
      <c r="G453" s="2482"/>
      <c r="H453" s="2482"/>
      <c r="I453" s="2482"/>
      <c r="J453" s="2482"/>
      <c r="K453" s="2482"/>
      <c r="L453" s="2482"/>
      <c r="M453" s="2482" t="s">
        <v>3173</v>
      </c>
      <c r="N453" s="2482"/>
      <c r="O453" s="2482"/>
      <c r="P453" s="2482"/>
      <c r="Q453" s="2482"/>
      <c r="R453" s="1987"/>
      <c r="S453" s="1987"/>
      <c r="T453" s="1987"/>
      <c r="U453" s="1987"/>
      <c r="V453" s="1987"/>
      <c r="W453" s="1987"/>
      <c r="X453" s="1987"/>
      <c r="Y453" s="1987"/>
      <c r="Z453" s="1987"/>
      <c r="AA453" s="2489"/>
      <c r="AB453" s="1987"/>
    </row>
    <row r="454" spans="4:28" s="1933" customFormat="1" ht="20.25" customHeight="1">
      <c r="D454" s="2482"/>
      <c r="E454" s="2482"/>
      <c r="F454" s="2482"/>
      <c r="G454" s="2482"/>
      <c r="H454" s="2482"/>
      <c r="I454" s="2482"/>
      <c r="J454" s="2482"/>
      <c r="K454" s="2482"/>
      <c r="L454" s="2482"/>
      <c r="M454" s="2482" t="s">
        <v>5044</v>
      </c>
      <c r="N454" s="2482"/>
      <c r="O454" s="2482"/>
      <c r="P454" s="2482"/>
      <c r="Q454" s="2482"/>
      <c r="R454" s="1987"/>
      <c r="S454" s="1987"/>
      <c r="T454" s="1987"/>
      <c r="U454" s="1987"/>
      <c r="V454" s="1987"/>
      <c r="W454" s="1987"/>
      <c r="X454" s="1987"/>
      <c r="Y454" s="1987"/>
      <c r="Z454" s="1987"/>
      <c r="AA454" s="2489"/>
      <c r="AB454" s="1987"/>
    </row>
    <row r="455" spans="4:28" s="1933" customFormat="1" ht="20.25" customHeight="1">
      <c r="D455" s="2482"/>
      <c r="E455" s="2482"/>
      <c r="F455" s="2482"/>
      <c r="G455" s="2482"/>
      <c r="H455" s="2482"/>
      <c r="I455" s="2482"/>
      <c r="J455" s="2482"/>
      <c r="K455" s="2482"/>
      <c r="L455" s="2482"/>
      <c r="M455" s="2482" t="s">
        <v>3246</v>
      </c>
      <c r="N455" s="2482"/>
      <c r="O455" s="2482"/>
      <c r="P455" s="2482"/>
      <c r="Q455" s="2482"/>
      <c r="R455" s="1987"/>
      <c r="S455" s="1987"/>
      <c r="T455" s="1987"/>
      <c r="U455" s="1987"/>
      <c r="V455" s="1987"/>
      <c r="W455" s="1987"/>
      <c r="X455" s="1987"/>
      <c r="Y455" s="1987"/>
      <c r="Z455" s="1987"/>
      <c r="AA455" s="2489"/>
      <c r="AB455" s="1987"/>
    </row>
    <row r="456" spans="4:28" s="1933" customFormat="1" ht="20.25" customHeight="1">
      <c r="D456" s="2482"/>
      <c r="E456" s="2482"/>
      <c r="F456" s="2482"/>
      <c r="G456" s="2482"/>
      <c r="H456" s="2482"/>
      <c r="I456" s="2482"/>
      <c r="J456" s="2482"/>
      <c r="K456" s="2482"/>
      <c r="L456" s="2482"/>
      <c r="M456" s="2482" t="s">
        <v>5045</v>
      </c>
      <c r="N456" s="2482"/>
      <c r="O456" s="2482"/>
      <c r="P456" s="2482"/>
      <c r="Q456" s="2482"/>
      <c r="R456" s="1987"/>
      <c r="S456" s="1987"/>
      <c r="T456" s="1987"/>
      <c r="U456" s="1987"/>
      <c r="V456" s="1987"/>
      <c r="W456" s="1987"/>
      <c r="X456" s="1987"/>
      <c r="Y456" s="1987"/>
      <c r="Z456" s="1987"/>
      <c r="AA456" s="2489"/>
      <c r="AB456" s="1987"/>
    </row>
    <row r="457" spans="4:28" s="1933" customFormat="1" ht="20.25" customHeight="1">
      <c r="D457" s="2482"/>
      <c r="E457" s="2482"/>
      <c r="F457" s="2482"/>
      <c r="G457" s="2482"/>
      <c r="H457" s="2482"/>
      <c r="I457" s="2482"/>
      <c r="J457" s="2482"/>
      <c r="K457" s="2482"/>
      <c r="L457" s="2482"/>
      <c r="M457" s="2482" t="s">
        <v>5046</v>
      </c>
      <c r="N457" s="2482"/>
      <c r="O457" s="2482"/>
      <c r="P457" s="2482"/>
      <c r="Q457" s="2482"/>
      <c r="R457" s="1987"/>
      <c r="S457" s="1987"/>
      <c r="T457" s="1987"/>
      <c r="U457" s="1987"/>
      <c r="V457" s="1987"/>
      <c r="W457" s="1987"/>
      <c r="X457" s="1987"/>
      <c r="Y457" s="1987"/>
      <c r="Z457" s="1987"/>
      <c r="AA457" s="2489"/>
      <c r="AB457" s="1987"/>
    </row>
    <row r="458" spans="4:28" s="1933" customFormat="1" ht="20.25" customHeight="1">
      <c r="D458" s="2482"/>
      <c r="E458" s="2482"/>
      <c r="F458" s="2482"/>
      <c r="G458" s="2482"/>
      <c r="H458" s="2482"/>
      <c r="I458" s="2482"/>
      <c r="J458" s="2482"/>
      <c r="K458" s="2482"/>
      <c r="L458" s="2482"/>
      <c r="M458" s="2482" t="s">
        <v>5047</v>
      </c>
      <c r="N458" s="2482"/>
      <c r="O458" s="2482"/>
      <c r="P458" s="2482"/>
      <c r="Q458" s="2482"/>
      <c r="R458" s="1987"/>
      <c r="S458" s="1987"/>
      <c r="T458" s="1987"/>
      <c r="U458" s="1987"/>
      <c r="V458" s="1987"/>
      <c r="W458" s="1987"/>
      <c r="X458" s="1987"/>
      <c r="Y458" s="1987"/>
      <c r="Z458" s="1987"/>
      <c r="AA458" s="2489"/>
      <c r="AB458" s="1987"/>
    </row>
    <row r="459" spans="4:28" s="1933" customFormat="1" ht="20.25" customHeight="1">
      <c r="D459" s="2482"/>
      <c r="E459" s="2482"/>
      <c r="F459" s="2482"/>
      <c r="G459" s="2482"/>
      <c r="H459" s="2482"/>
      <c r="I459" s="2482"/>
      <c r="J459" s="2482"/>
      <c r="K459" s="2482"/>
      <c r="L459" s="2482"/>
      <c r="M459" s="2482" t="s">
        <v>5048</v>
      </c>
      <c r="N459" s="2482"/>
      <c r="O459" s="2482"/>
      <c r="P459" s="2482"/>
      <c r="Q459" s="2482"/>
      <c r="R459" s="1987"/>
      <c r="S459" s="1987"/>
      <c r="T459" s="1987"/>
      <c r="U459" s="1987"/>
      <c r="V459" s="1987"/>
      <c r="W459" s="1987"/>
      <c r="X459" s="1987"/>
      <c r="Y459" s="1987"/>
      <c r="Z459" s="1987"/>
      <c r="AA459" s="2489"/>
      <c r="AB459" s="1987"/>
    </row>
    <row r="460" spans="4:28" s="1933" customFormat="1" ht="20.25" customHeight="1">
      <c r="D460" s="2482"/>
      <c r="E460" s="2482"/>
      <c r="F460" s="2482"/>
      <c r="G460" s="2482"/>
      <c r="H460" s="2482"/>
      <c r="I460" s="2482"/>
      <c r="J460" s="2482"/>
      <c r="K460" s="2482"/>
      <c r="L460" s="2482"/>
      <c r="M460" s="2482"/>
      <c r="N460" s="2482"/>
      <c r="O460" s="2482"/>
      <c r="P460" s="2482"/>
      <c r="Q460" s="2482"/>
      <c r="R460" s="1987"/>
      <c r="S460" s="1987"/>
      <c r="T460" s="1987"/>
      <c r="U460" s="1987"/>
      <c r="V460" s="1987"/>
      <c r="W460" s="1987"/>
      <c r="X460" s="1987"/>
      <c r="Y460" s="1987"/>
      <c r="Z460" s="1987"/>
      <c r="AA460" s="2489"/>
      <c r="AB460" s="1987"/>
    </row>
    <row r="461" spans="4:28" s="1933" customFormat="1" ht="20.25" customHeight="1">
      <c r="D461" s="2482"/>
      <c r="E461" s="2482"/>
      <c r="F461" s="2482"/>
      <c r="G461" s="2482"/>
      <c r="H461" s="2482"/>
      <c r="I461" s="2482"/>
      <c r="J461" s="2482"/>
      <c r="K461" s="2482"/>
      <c r="L461" s="2482"/>
      <c r="M461" s="2482"/>
      <c r="N461" s="2482"/>
      <c r="O461" s="2482"/>
      <c r="P461" s="2482"/>
      <c r="Q461" s="2482"/>
      <c r="R461" s="1987"/>
      <c r="S461" s="1987"/>
      <c r="T461" s="1987"/>
      <c r="U461" s="1987"/>
      <c r="V461" s="1987"/>
      <c r="W461" s="1987"/>
      <c r="X461" s="1987"/>
      <c r="Y461" s="1987"/>
      <c r="Z461" s="1987"/>
      <c r="AA461" s="2489"/>
      <c r="AB461" s="1987"/>
    </row>
    <row r="462" spans="4:28" s="1933" customFormat="1" ht="20.25" customHeight="1">
      <c r="D462" s="2482"/>
      <c r="E462" s="2482"/>
      <c r="F462" s="2482"/>
      <c r="G462" s="2482"/>
      <c r="H462" s="2482"/>
      <c r="I462" s="2482"/>
      <c r="J462" s="2482"/>
      <c r="K462" s="2482"/>
      <c r="L462" s="2482"/>
      <c r="M462" s="2482"/>
      <c r="N462" s="2482"/>
      <c r="O462" s="2482"/>
      <c r="P462" s="2482"/>
      <c r="Q462" s="2482"/>
      <c r="R462" s="1987"/>
      <c r="S462" s="1987"/>
      <c r="T462" s="1987"/>
      <c r="U462" s="1987"/>
      <c r="V462" s="1987"/>
      <c r="W462" s="1987"/>
      <c r="X462" s="1987"/>
      <c r="Y462" s="1987"/>
      <c r="Z462" s="1987"/>
      <c r="AA462" s="2489"/>
      <c r="AB462" s="1987"/>
    </row>
    <row r="463" spans="4:28" s="1933" customFormat="1" ht="20.25" customHeight="1">
      <c r="D463" s="2482"/>
      <c r="E463" s="2482"/>
      <c r="F463" s="2482"/>
      <c r="G463" s="2482"/>
      <c r="H463" s="2482"/>
      <c r="I463" s="2482"/>
      <c r="J463" s="2482"/>
      <c r="K463" s="2482"/>
      <c r="L463" s="2482"/>
      <c r="M463" s="2482"/>
      <c r="N463" s="2482"/>
      <c r="O463" s="2482"/>
      <c r="P463" s="2482"/>
      <c r="Q463" s="2482"/>
      <c r="R463" s="1987"/>
      <c r="S463" s="1987"/>
      <c r="T463" s="1987"/>
      <c r="U463" s="1987"/>
      <c r="V463" s="1987"/>
      <c r="W463" s="1987"/>
      <c r="X463" s="1987"/>
      <c r="Y463" s="1987"/>
      <c r="Z463" s="1987"/>
      <c r="AA463" s="2489"/>
      <c r="AB463" s="1987"/>
    </row>
    <row r="464" spans="4:28" s="1933" customFormat="1" ht="20.25" customHeight="1">
      <c r="D464" s="2482"/>
      <c r="E464" s="2482"/>
      <c r="F464" s="2482"/>
      <c r="G464" s="2482"/>
      <c r="H464" s="2482"/>
      <c r="I464" s="2482"/>
      <c r="J464" s="2482"/>
      <c r="K464" s="2482"/>
      <c r="L464" s="2482"/>
      <c r="M464" s="2482"/>
      <c r="N464" s="2482"/>
      <c r="O464" s="2482"/>
      <c r="P464" s="2482"/>
      <c r="Q464" s="2482"/>
      <c r="R464" s="1987"/>
      <c r="S464" s="1987"/>
      <c r="T464" s="1987"/>
      <c r="U464" s="1987"/>
      <c r="V464" s="1987"/>
      <c r="W464" s="1987"/>
      <c r="X464" s="1987"/>
      <c r="Y464" s="1987"/>
      <c r="Z464" s="1987"/>
      <c r="AA464" s="2489"/>
      <c r="AB464" s="1987"/>
    </row>
    <row r="465" spans="4:28" s="1933" customFormat="1" ht="20.25" customHeight="1">
      <c r="D465" s="2482"/>
      <c r="E465" s="2482"/>
      <c r="F465" s="2482"/>
      <c r="G465" s="2482"/>
      <c r="H465" s="2482"/>
      <c r="I465" s="2482"/>
      <c r="J465" s="2482"/>
      <c r="K465" s="2482"/>
      <c r="L465" s="2482"/>
      <c r="M465" s="2482"/>
      <c r="N465" s="2482"/>
      <c r="O465" s="2482"/>
      <c r="P465" s="2482"/>
      <c r="Q465" s="2482"/>
      <c r="R465" s="1987"/>
      <c r="S465" s="1987"/>
      <c r="T465" s="1987"/>
      <c r="U465" s="1987"/>
      <c r="V465" s="1987"/>
      <c r="W465" s="1987"/>
      <c r="X465" s="1987"/>
      <c r="Y465" s="1987"/>
      <c r="Z465" s="1987"/>
      <c r="AA465" s="2489"/>
      <c r="AB465" s="1987"/>
    </row>
    <row r="466" spans="4:28" s="1933" customFormat="1" ht="20.25" customHeight="1">
      <c r="D466" s="2482"/>
      <c r="E466" s="2482"/>
      <c r="F466" s="2482"/>
      <c r="G466" s="2482"/>
      <c r="H466" s="2482"/>
      <c r="I466" s="2482"/>
      <c r="J466" s="2482"/>
      <c r="K466" s="2482"/>
      <c r="L466" s="2482"/>
      <c r="M466" s="2482"/>
      <c r="N466" s="2482"/>
      <c r="O466" s="2482"/>
      <c r="P466" s="2482"/>
      <c r="Q466" s="2482"/>
      <c r="R466" s="1987"/>
      <c r="S466" s="1987"/>
      <c r="T466" s="1987"/>
      <c r="U466" s="1987"/>
      <c r="V466" s="1987"/>
      <c r="W466" s="1987"/>
      <c r="X466" s="1987"/>
      <c r="Y466" s="1987"/>
      <c r="Z466" s="1987"/>
      <c r="AA466" s="2489"/>
      <c r="AB466" s="1987"/>
    </row>
    <row r="467" spans="4:28" s="1933" customFormat="1" ht="20.25" customHeight="1">
      <c r="D467" s="2482"/>
      <c r="E467" s="2482"/>
      <c r="F467" s="2482"/>
      <c r="G467" s="2482"/>
      <c r="H467" s="2482"/>
      <c r="I467" s="2482"/>
      <c r="J467" s="2482"/>
      <c r="K467" s="2482"/>
      <c r="L467" s="2482"/>
      <c r="M467" s="2482"/>
      <c r="N467" s="2482"/>
      <c r="O467" s="2482"/>
      <c r="P467" s="2482"/>
      <c r="Q467" s="2482"/>
      <c r="R467" s="1987"/>
      <c r="S467" s="1987"/>
      <c r="T467" s="1987"/>
      <c r="U467" s="1987"/>
      <c r="V467" s="1987"/>
      <c r="W467" s="1987"/>
      <c r="X467" s="1987"/>
      <c r="Y467" s="1987"/>
      <c r="Z467" s="1987"/>
      <c r="AA467" s="2489"/>
      <c r="AB467" s="1987"/>
    </row>
    <row r="468" spans="4:28" s="1933" customFormat="1" ht="20.25" customHeight="1">
      <c r="D468" s="2482"/>
      <c r="E468" s="2482"/>
      <c r="F468" s="2482"/>
      <c r="G468" s="2482"/>
      <c r="H468" s="2482"/>
      <c r="I468" s="2482"/>
      <c r="J468" s="2482"/>
      <c r="K468" s="2482"/>
      <c r="L468" s="2482"/>
      <c r="M468" s="2482"/>
      <c r="N468" s="2482"/>
      <c r="O468" s="2482"/>
      <c r="P468" s="2482"/>
      <c r="Q468" s="2482"/>
      <c r="R468" s="1987"/>
      <c r="S468" s="1987"/>
      <c r="T468" s="1987"/>
      <c r="U468" s="1987"/>
      <c r="V468" s="1987"/>
      <c r="W468" s="1987"/>
      <c r="X468" s="1987"/>
      <c r="Y468" s="1987"/>
      <c r="Z468" s="1987"/>
      <c r="AA468" s="2489"/>
      <c r="AB468" s="1987"/>
    </row>
    <row r="469" spans="4:28" s="1933" customFormat="1" ht="20.25" customHeight="1">
      <c r="D469" s="2482"/>
      <c r="E469" s="2482"/>
      <c r="F469" s="2482"/>
      <c r="G469" s="2482"/>
      <c r="H469" s="2482"/>
      <c r="I469" s="2482"/>
      <c r="J469" s="2482"/>
      <c r="K469" s="2482"/>
      <c r="L469" s="2482"/>
      <c r="M469" s="2482"/>
      <c r="N469" s="2482"/>
      <c r="O469" s="2482"/>
      <c r="P469" s="2482"/>
      <c r="Q469" s="2482"/>
      <c r="R469" s="1987"/>
      <c r="S469" s="1987"/>
      <c r="T469" s="1987"/>
      <c r="U469" s="1987"/>
      <c r="V469" s="1987"/>
      <c r="W469" s="1987"/>
      <c r="X469" s="1987"/>
      <c r="Y469" s="1987"/>
      <c r="Z469" s="1987"/>
      <c r="AA469" s="2489"/>
      <c r="AB469" s="1987"/>
    </row>
    <row r="470" spans="4:28" s="1933" customFormat="1" ht="20.25" customHeight="1">
      <c r="D470" s="2482"/>
      <c r="E470" s="2482"/>
      <c r="F470" s="2482"/>
      <c r="G470" s="2482"/>
      <c r="H470" s="2482"/>
      <c r="I470" s="2482"/>
      <c r="J470" s="2482"/>
      <c r="K470" s="2482"/>
      <c r="L470" s="2482"/>
      <c r="M470" s="2482"/>
      <c r="N470" s="2482"/>
      <c r="O470" s="2482"/>
      <c r="P470" s="2482"/>
      <c r="Q470" s="2482"/>
      <c r="R470" s="1987"/>
      <c r="S470" s="1987"/>
      <c r="T470" s="1987"/>
      <c r="U470" s="1987"/>
      <c r="V470" s="1987"/>
      <c r="W470" s="1987"/>
      <c r="X470" s="1987"/>
      <c r="Y470" s="1987"/>
      <c r="Z470" s="1987"/>
      <c r="AA470" s="2489"/>
      <c r="AB470" s="1987"/>
    </row>
    <row r="471" spans="4:28" s="1933" customFormat="1" ht="20.25" customHeight="1">
      <c r="D471" s="2482"/>
      <c r="E471" s="2482"/>
      <c r="F471" s="2482"/>
      <c r="G471" s="2482"/>
      <c r="H471" s="2482"/>
      <c r="I471" s="2482"/>
      <c r="J471" s="2482"/>
      <c r="K471" s="2482"/>
      <c r="L471" s="2482"/>
      <c r="M471" s="2482"/>
      <c r="N471" s="2482"/>
      <c r="O471" s="2482"/>
      <c r="P471" s="2482"/>
      <c r="Q471" s="2482"/>
      <c r="R471" s="1987"/>
      <c r="S471" s="1987"/>
      <c r="T471" s="1987"/>
      <c r="U471" s="1987"/>
      <c r="V471" s="1987"/>
      <c r="W471" s="1987"/>
      <c r="X471" s="1987"/>
      <c r="Y471" s="1987"/>
      <c r="Z471" s="1987"/>
      <c r="AA471" s="2489"/>
      <c r="AB471" s="1987"/>
    </row>
    <row r="472" spans="4:28" s="1933" customFormat="1" ht="20.25" customHeight="1">
      <c r="D472" s="2482"/>
      <c r="E472" s="2482"/>
      <c r="F472" s="2482"/>
      <c r="G472" s="2482"/>
      <c r="H472" s="2482"/>
      <c r="I472" s="2482"/>
      <c r="J472" s="2482"/>
      <c r="K472" s="2482"/>
      <c r="L472" s="2482"/>
      <c r="M472" s="2482"/>
      <c r="N472" s="2482"/>
      <c r="O472" s="2482"/>
      <c r="P472" s="2482"/>
      <c r="Q472" s="2482"/>
      <c r="R472" s="1987"/>
      <c r="S472" s="1987"/>
      <c r="T472" s="1987"/>
      <c r="U472" s="1987"/>
      <c r="V472" s="1987"/>
      <c r="W472" s="1987"/>
      <c r="X472" s="1987"/>
      <c r="Y472" s="1987"/>
      <c r="Z472" s="1987"/>
      <c r="AA472" s="2489"/>
      <c r="AB472" s="1987"/>
    </row>
    <row r="473" spans="4:28" s="1933" customFormat="1" ht="20.25" customHeight="1">
      <c r="D473" s="2482"/>
      <c r="E473" s="2482"/>
      <c r="F473" s="2482"/>
      <c r="G473" s="2482"/>
      <c r="H473" s="2482"/>
      <c r="I473" s="2482"/>
      <c r="J473" s="2482"/>
      <c r="K473" s="2482"/>
      <c r="L473" s="2482"/>
      <c r="M473" s="2482"/>
      <c r="N473" s="2482"/>
      <c r="O473" s="2482"/>
      <c r="P473" s="2482"/>
      <c r="Q473" s="2482"/>
      <c r="R473" s="1987"/>
      <c r="S473" s="1987"/>
      <c r="T473" s="1987"/>
      <c r="U473" s="1987"/>
      <c r="V473" s="1987"/>
      <c r="W473" s="1987"/>
      <c r="X473" s="1987"/>
      <c r="Y473" s="1987"/>
      <c r="Z473" s="1987"/>
      <c r="AA473" s="2489"/>
      <c r="AB473" s="1987"/>
    </row>
    <row r="474" spans="4:28" s="1933" customFormat="1" ht="20.25" customHeight="1">
      <c r="D474" s="2482"/>
      <c r="E474" s="2482"/>
      <c r="F474" s="2482"/>
      <c r="G474" s="2482"/>
      <c r="H474" s="2482"/>
      <c r="I474" s="2482"/>
      <c r="J474" s="2482"/>
      <c r="K474" s="2482"/>
      <c r="L474" s="2482"/>
      <c r="M474" s="2482"/>
      <c r="N474" s="2482"/>
      <c r="O474" s="2482"/>
      <c r="P474" s="2482"/>
      <c r="Q474" s="2482"/>
      <c r="R474" s="1987"/>
      <c r="S474" s="1987"/>
      <c r="T474" s="1987"/>
      <c r="U474" s="1987"/>
      <c r="V474" s="1987"/>
      <c r="W474" s="1987"/>
      <c r="X474" s="1987"/>
      <c r="Y474" s="1987"/>
      <c r="Z474" s="1987"/>
      <c r="AA474" s="2489"/>
      <c r="AB474" s="1987"/>
    </row>
    <row r="475" spans="4:28" s="1933" customFormat="1" ht="20.25" customHeight="1">
      <c r="D475" s="2482"/>
      <c r="E475" s="2482"/>
      <c r="F475" s="2482"/>
      <c r="G475" s="2482"/>
      <c r="H475" s="2482"/>
      <c r="I475" s="2482"/>
      <c r="J475" s="2482"/>
      <c r="K475" s="2482"/>
      <c r="L475" s="2482"/>
      <c r="M475" s="2482"/>
      <c r="N475" s="2482"/>
      <c r="O475" s="2482"/>
      <c r="P475" s="2482"/>
      <c r="Q475" s="2482"/>
      <c r="R475" s="1987"/>
      <c r="S475" s="1987"/>
      <c r="T475" s="1987"/>
      <c r="U475" s="1987"/>
      <c r="V475" s="1987"/>
      <c r="W475" s="1987"/>
      <c r="X475" s="1987"/>
      <c r="Y475" s="1987"/>
      <c r="Z475" s="1987"/>
      <c r="AA475" s="2489"/>
      <c r="AB475" s="1987"/>
    </row>
    <row r="476" spans="4:28" s="1933" customFormat="1" ht="20.25" customHeight="1">
      <c r="D476" s="2482"/>
      <c r="E476" s="2482"/>
      <c r="F476" s="2482"/>
      <c r="G476" s="2482"/>
      <c r="H476" s="2482"/>
      <c r="I476" s="2482"/>
      <c r="J476" s="2482"/>
      <c r="K476" s="2482"/>
      <c r="L476" s="2482"/>
      <c r="M476" s="2482"/>
      <c r="N476" s="2482"/>
      <c r="O476" s="2482"/>
      <c r="P476" s="2482"/>
      <c r="Q476" s="2482"/>
      <c r="R476" s="1987"/>
      <c r="S476" s="1987"/>
      <c r="T476" s="1987"/>
      <c r="U476" s="1987"/>
      <c r="V476" s="1987"/>
      <c r="W476" s="1987"/>
      <c r="X476" s="1987"/>
      <c r="Y476" s="1987"/>
      <c r="Z476" s="1987"/>
      <c r="AA476" s="2489"/>
      <c r="AB476" s="1987"/>
    </row>
    <row r="477" spans="4:28" s="1933" customFormat="1" ht="20.25" customHeight="1">
      <c r="D477" s="2482"/>
      <c r="E477" s="2482"/>
      <c r="F477" s="2482"/>
      <c r="G477" s="2482"/>
      <c r="H477" s="2482"/>
      <c r="I477" s="2482"/>
      <c r="J477" s="2482"/>
      <c r="K477" s="2482"/>
      <c r="L477" s="2482"/>
      <c r="M477" s="2482"/>
      <c r="N477" s="2482"/>
      <c r="O477" s="2482"/>
      <c r="P477" s="2482"/>
      <c r="Q477" s="2482"/>
      <c r="R477" s="1987"/>
      <c r="S477" s="1987"/>
      <c r="T477" s="1987"/>
      <c r="U477" s="1987"/>
      <c r="V477" s="1987"/>
      <c r="W477" s="1987"/>
      <c r="X477" s="1987"/>
      <c r="Y477" s="1987"/>
      <c r="Z477" s="1987"/>
      <c r="AA477" s="2489"/>
      <c r="AB477" s="1987"/>
    </row>
    <row r="478" spans="4:28" s="1933" customFormat="1" ht="20.25" customHeight="1">
      <c r="D478" s="2482"/>
      <c r="E478" s="2482"/>
      <c r="F478" s="2482"/>
      <c r="G478" s="2482"/>
      <c r="H478" s="2482"/>
      <c r="I478" s="2482"/>
      <c r="J478" s="2482"/>
      <c r="K478" s="2482"/>
      <c r="L478" s="2482"/>
      <c r="M478" s="2482"/>
      <c r="N478" s="2482"/>
      <c r="O478" s="2482"/>
      <c r="P478" s="2482"/>
      <c r="Q478" s="2482"/>
      <c r="R478" s="1987"/>
      <c r="S478" s="1987"/>
      <c r="T478" s="1987"/>
      <c r="U478" s="1987"/>
      <c r="V478" s="1987"/>
      <c r="W478" s="1987"/>
      <c r="X478" s="1987"/>
      <c r="Y478" s="1987"/>
      <c r="Z478" s="1987"/>
      <c r="AA478" s="2489"/>
      <c r="AB478" s="1987"/>
    </row>
    <row r="479" spans="4:28" s="1933" customFormat="1" ht="20.25" customHeight="1">
      <c r="D479" s="2482"/>
      <c r="E479" s="2482"/>
      <c r="F479" s="2482"/>
      <c r="G479" s="2482"/>
      <c r="H479" s="2482"/>
      <c r="I479" s="2482"/>
      <c r="J479" s="2482"/>
      <c r="K479" s="2482"/>
      <c r="L479" s="2482"/>
      <c r="M479" s="2482"/>
      <c r="N479" s="2482"/>
      <c r="O479" s="2482"/>
      <c r="P479" s="2482"/>
      <c r="Q479" s="2482"/>
      <c r="R479" s="1987"/>
      <c r="S479" s="1987"/>
      <c r="T479" s="1987"/>
      <c r="U479" s="1987"/>
      <c r="V479" s="1987"/>
      <c r="W479" s="1987"/>
      <c r="X479" s="1987"/>
      <c r="Y479" s="1987"/>
      <c r="Z479" s="1987"/>
      <c r="AA479" s="2489"/>
      <c r="AB479" s="1987"/>
    </row>
    <row r="480" spans="4:28" s="1933" customFormat="1" ht="20.25" customHeight="1">
      <c r="D480" s="2482"/>
      <c r="E480" s="2482"/>
      <c r="F480" s="2482"/>
      <c r="G480" s="2482"/>
      <c r="H480" s="2482"/>
      <c r="I480" s="2482"/>
      <c r="J480" s="2482"/>
      <c r="K480" s="2482"/>
      <c r="L480" s="2482"/>
      <c r="M480" s="2482"/>
      <c r="N480" s="2482"/>
      <c r="O480" s="2482"/>
      <c r="P480" s="2482"/>
      <c r="Q480" s="2482"/>
      <c r="R480" s="1987"/>
      <c r="S480" s="1987"/>
      <c r="T480" s="1987"/>
      <c r="U480" s="1987"/>
      <c r="V480" s="1987"/>
      <c r="W480" s="1987"/>
      <c r="X480" s="1987"/>
      <c r="Y480" s="1987"/>
      <c r="Z480" s="1987"/>
      <c r="AA480" s="2489"/>
      <c r="AB480" s="1987"/>
    </row>
    <row r="481" spans="4:28" s="1933" customFormat="1" ht="20.25" customHeight="1">
      <c r="D481" s="2482"/>
      <c r="E481" s="2482"/>
      <c r="F481" s="2482"/>
      <c r="G481" s="2482"/>
      <c r="H481" s="2482"/>
      <c r="I481" s="2482"/>
      <c r="J481" s="2482"/>
      <c r="K481" s="2482"/>
      <c r="L481" s="2482"/>
      <c r="M481" s="2482"/>
      <c r="N481" s="2482"/>
      <c r="O481" s="2482"/>
      <c r="P481" s="2482"/>
      <c r="Q481" s="2482"/>
      <c r="R481" s="1987"/>
      <c r="S481" s="1987"/>
      <c r="T481" s="1987"/>
      <c r="U481" s="1987"/>
      <c r="V481" s="1987"/>
      <c r="W481" s="1987"/>
      <c r="X481" s="1987"/>
      <c r="Y481" s="1987"/>
      <c r="Z481" s="1987"/>
      <c r="AA481" s="2489"/>
      <c r="AB481" s="1987"/>
    </row>
    <row r="482" spans="4:28" s="1933" customFormat="1" ht="20.25" customHeight="1">
      <c r="D482" s="2482"/>
      <c r="E482" s="2482"/>
      <c r="F482" s="2482"/>
      <c r="G482" s="2482"/>
      <c r="H482" s="2482"/>
      <c r="I482" s="2482"/>
      <c r="J482" s="2482"/>
      <c r="K482" s="2482"/>
      <c r="L482" s="2482"/>
      <c r="M482" s="2482"/>
      <c r="N482" s="2482"/>
      <c r="O482" s="2482"/>
      <c r="P482" s="2482"/>
      <c r="Q482" s="2482"/>
      <c r="R482" s="1987"/>
      <c r="S482" s="1987"/>
      <c r="T482" s="1987"/>
      <c r="U482" s="1987"/>
      <c r="V482" s="1987"/>
      <c r="W482" s="1987"/>
      <c r="X482" s="1987"/>
      <c r="Y482" s="1987"/>
      <c r="Z482" s="1987"/>
      <c r="AA482" s="2489"/>
      <c r="AB482" s="1987"/>
    </row>
    <row r="483" spans="4:28" s="1933" customFormat="1" ht="20.25" customHeight="1">
      <c r="D483" s="2482"/>
      <c r="E483" s="2482"/>
      <c r="F483" s="2482"/>
      <c r="G483" s="2482"/>
      <c r="H483" s="2482"/>
      <c r="I483" s="2482"/>
      <c r="J483" s="2482"/>
      <c r="K483" s="2482"/>
      <c r="L483" s="2482"/>
      <c r="M483" s="2482"/>
      <c r="N483" s="2482"/>
      <c r="O483" s="2482"/>
      <c r="P483" s="2482"/>
      <c r="Q483" s="2482"/>
      <c r="R483" s="1987"/>
      <c r="S483" s="1987"/>
      <c r="T483" s="1987"/>
      <c r="U483" s="1987"/>
      <c r="V483" s="1987"/>
      <c r="W483" s="1987"/>
      <c r="X483" s="1987"/>
      <c r="Y483" s="1987"/>
      <c r="Z483" s="1987"/>
      <c r="AA483" s="2489"/>
      <c r="AB483" s="1987"/>
    </row>
    <row r="484" spans="4:28" s="1933" customFormat="1" ht="20.25" customHeight="1">
      <c r="D484" s="2482"/>
      <c r="E484" s="2482"/>
      <c r="F484" s="2482"/>
      <c r="G484" s="2482"/>
      <c r="H484" s="2482"/>
      <c r="I484" s="2482"/>
      <c r="J484" s="2482"/>
      <c r="K484" s="2482"/>
      <c r="L484" s="2482"/>
      <c r="M484" s="2482"/>
      <c r="N484" s="2482"/>
      <c r="O484" s="2482"/>
      <c r="P484" s="2482"/>
      <c r="Q484" s="2482"/>
      <c r="R484" s="1987"/>
      <c r="S484" s="1987"/>
      <c r="T484" s="1987"/>
      <c r="U484" s="1987"/>
      <c r="V484" s="1987"/>
      <c r="W484" s="1987"/>
      <c r="X484" s="1987"/>
      <c r="Y484" s="1987"/>
      <c r="Z484" s="1987"/>
      <c r="AA484" s="2489"/>
      <c r="AB484" s="1987"/>
    </row>
    <row r="485" spans="4:28" s="1933" customFormat="1" ht="20.25" customHeight="1">
      <c r="D485" s="2482"/>
      <c r="E485" s="2482"/>
      <c r="F485" s="2482"/>
      <c r="G485" s="2482"/>
      <c r="H485" s="2482"/>
      <c r="I485" s="2482"/>
      <c r="J485" s="2482"/>
      <c r="K485" s="2482"/>
      <c r="L485" s="2482"/>
      <c r="M485" s="2482"/>
      <c r="N485" s="2482"/>
      <c r="O485" s="2482"/>
      <c r="P485" s="2482"/>
      <c r="Q485" s="2482"/>
      <c r="R485" s="1987"/>
      <c r="S485" s="1987"/>
      <c r="T485" s="1987"/>
      <c r="U485" s="1987"/>
      <c r="V485" s="1987"/>
      <c r="W485" s="1987"/>
      <c r="X485" s="1987"/>
      <c r="Y485" s="1987"/>
      <c r="Z485" s="1987"/>
      <c r="AA485" s="2489"/>
      <c r="AB485" s="1987"/>
    </row>
    <row r="486" spans="4:28" s="1933" customFormat="1" ht="20.25" customHeight="1">
      <c r="D486" s="2482"/>
      <c r="E486" s="2482"/>
      <c r="F486" s="2482"/>
      <c r="G486" s="2482"/>
      <c r="H486" s="2482"/>
      <c r="I486" s="2482"/>
      <c r="J486" s="2482"/>
      <c r="K486" s="2482"/>
      <c r="L486" s="2482"/>
      <c r="M486" s="2482"/>
      <c r="N486" s="2482"/>
      <c r="O486" s="2482"/>
      <c r="P486" s="2482"/>
      <c r="Q486" s="2482"/>
      <c r="R486" s="1987"/>
      <c r="S486" s="1987"/>
      <c r="T486" s="1987"/>
      <c r="U486" s="1987"/>
      <c r="V486" s="1987"/>
      <c r="W486" s="1987"/>
      <c r="X486" s="1987"/>
      <c r="Y486" s="1987"/>
      <c r="Z486" s="1987"/>
      <c r="AA486" s="2489"/>
      <c r="AB486" s="1987"/>
    </row>
    <row r="487" spans="4:28" s="1933" customFormat="1" ht="20.25" customHeight="1">
      <c r="D487" s="2482"/>
      <c r="E487" s="2482"/>
      <c r="F487" s="2482"/>
      <c r="G487" s="2482"/>
      <c r="H487" s="2482"/>
      <c r="I487" s="2482"/>
      <c r="J487" s="2482"/>
      <c r="K487" s="2482"/>
      <c r="L487" s="2482"/>
      <c r="M487" s="2482"/>
      <c r="N487" s="2482"/>
      <c r="O487" s="2482"/>
      <c r="P487" s="2482"/>
      <c r="Q487" s="2482"/>
      <c r="R487" s="1987"/>
      <c r="S487" s="1987"/>
      <c r="T487" s="1987"/>
      <c r="U487" s="1987"/>
      <c r="V487" s="1987"/>
      <c r="W487" s="1987"/>
      <c r="X487" s="1987"/>
      <c r="Y487" s="1987"/>
      <c r="Z487" s="1987"/>
      <c r="AA487" s="2489"/>
      <c r="AB487" s="1987"/>
    </row>
    <row r="488" spans="4:28" s="1933" customFormat="1" ht="20.25" customHeight="1">
      <c r="D488" s="2482"/>
      <c r="E488" s="2482"/>
      <c r="F488" s="2482"/>
      <c r="G488" s="2482"/>
      <c r="H488" s="2482"/>
      <c r="I488" s="2482"/>
      <c r="J488" s="2482"/>
      <c r="K488" s="2482"/>
      <c r="L488" s="2482"/>
      <c r="M488" s="2482"/>
      <c r="N488" s="2482"/>
      <c r="O488" s="2482"/>
      <c r="P488" s="2482"/>
      <c r="Q488" s="2482"/>
      <c r="R488" s="1987"/>
      <c r="S488" s="1987"/>
      <c r="T488" s="1987"/>
      <c r="U488" s="1987"/>
      <c r="V488" s="1987"/>
      <c r="W488" s="1987"/>
      <c r="X488" s="1987"/>
      <c r="Y488" s="1987"/>
      <c r="Z488" s="1987"/>
      <c r="AA488" s="2489"/>
      <c r="AB488" s="1987"/>
    </row>
    <row r="489" spans="4:28" s="1933" customFormat="1" ht="20.25" customHeight="1">
      <c r="D489" s="2482"/>
      <c r="E489" s="2482"/>
      <c r="F489" s="2482"/>
      <c r="G489" s="2482"/>
      <c r="H489" s="2482"/>
      <c r="I489" s="2482"/>
      <c r="J489" s="2482"/>
      <c r="K489" s="2482"/>
      <c r="L489" s="2482"/>
      <c r="M489" s="2482"/>
      <c r="N489" s="2482"/>
      <c r="O489" s="2482"/>
      <c r="P489" s="2482"/>
      <c r="Q489" s="2482"/>
      <c r="R489" s="1987"/>
      <c r="S489" s="1987"/>
      <c r="T489" s="1987"/>
      <c r="U489" s="1987"/>
      <c r="V489" s="1987"/>
      <c r="W489" s="1987"/>
      <c r="X489" s="1987"/>
      <c r="Y489" s="1987"/>
      <c r="Z489" s="1987"/>
      <c r="AA489" s="2489"/>
      <c r="AB489" s="1987"/>
    </row>
    <row r="490" spans="4:28" s="1933" customFormat="1" ht="20.25" customHeight="1">
      <c r="D490" s="2482"/>
      <c r="E490" s="2482"/>
      <c r="F490" s="2482"/>
      <c r="G490" s="2482"/>
      <c r="H490" s="2482"/>
      <c r="I490" s="2482"/>
      <c r="J490" s="2482"/>
      <c r="K490" s="2482"/>
      <c r="L490" s="2482"/>
      <c r="M490" s="2482"/>
      <c r="N490" s="2482"/>
      <c r="O490" s="2482"/>
      <c r="P490" s="2482"/>
      <c r="Q490" s="2482"/>
      <c r="R490" s="1987"/>
      <c r="S490" s="1987"/>
      <c r="T490" s="1987"/>
      <c r="U490" s="1987"/>
      <c r="V490" s="1987"/>
      <c r="W490" s="1987"/>
      <c r="X490" s="1987"/>
      <c r="Y490" s="1987"/>
      <c r="Z490" s="1987"/>
      <c r="AA490" s="2489"/>
      <c r="AB490" s="1987"/>
    </row>
    <row r="491" spans="4:28" s="1933" customFormat="1" ht="20.25" customHeight="1">
      <c r="D491" s="2482"/>
      <c r="E491" s="2482"/>
      <c r="F491" s="2482"/>
      <c r="G491" s="2482"/>
      <c r="H491" s="2482"/>
      <c r="I491" s="2482"/>
      <c r="J491" s="2482"/>
      <c r="K491" s="2482"/>
      <c r="L491" s="2482"/>
      <c r="M491" s="2482"/>
      <c r="N491" s="2482"/>
      <c r="O491" s="2482"/>
      <c r="P491" s="2482"/>
      <c r="Q491" s="2482"/>
      <c r="R491" s="1987"/>
      <c r="S491" s="1987"/>
      <c r="T491" s="1987"/>
      <c r="U491" s="1987"/>
      <c r="V491" s="1987"/>
      <c r="W491" s="1987"/>
      <c r="X491" s="1987"/>
      <c r="Y491" s="1987"/>
      <c r="Z491" s="1987"/>
      <c r="AA491" s="2489"/>
      <c r="AB491" s="1987"/>
    </row>
    <row r="492" spans="4:28" s="1933" customFormat="1" ht="20.25" customHeight="1">
      <c r="D492" s="2482"/>
      <c r="E492" s="2482"/>
      <c r="F492" s="2482"/>
      <c r="G492" s="2482"/>
      <c r="H492" s="2482"/>
      <c r="I492" s="2482"/>
      <c r="J492" s="2482"/>
      <c r="K492" s="2482"/>
      <c r="L492" s="2482"/>
      <c r="M492" s="2482"/>
      <c r="N492" s="2482"/>
      <c r="O492" s="2482"/>
      <c r="P492" s="2482"/>
      <c r="Q492" s="2482"/>
      <c r="R492" s="1987"/>
      <c r="S492" s="1987"/>
      <c r="T492" s="1987"/>
      <c r="U492" s="1987"/>
      <c r="V492" s="1987"/>
      <c r="W492" s="1987"/>
      <c r="X492" s="1987"/>
      <c r="Y492" s="1987"/>
      <c r="Z492" s="1987"/>
      <c r="AA492" s="2489"/>
      <c r="AB492" s="1987"/>
    </row>
    <row r="493" spans="4:28" s="1933" customFormat="1" ht="20.25" customHeight="1">
      <c r="D493" s="2482"/>
      <c r="E493" s="2482"/>
      <c r="F493" s="2482"/>
      <c r="G493" s="2482"/>
      <c r="H493" s="2482"/>
      <c r="I493" s="2482"/>
      <c r="J493" s="2482"/>
      <c r="K493" s="2482"/>
      <c r="L493" s="2482"/>
      <c r="M493" s="2482"/>
      <c r="N493" s="2482"/>
      <c r="O493" s="2482"/>
      <c r="P493" s="2482"/>
      <c r="Q493" s="2482"/>
      <c r="R493" s="1987"/>
      <c r="S493" s="1987"/>
      <c r="T493" s="1987"/>
      <c r="U493" s="1987"/>
      <c r="V493" s="1987"/>
      <c r="W493" s="1987"/>
      <c r="X493" s="1987"/>
      <c r="Y493" s="1987"/>
      <c r="Z493" s="1987"/>
      <c r="AA493" s="2489"/>
      <c r="AB493" s="1987"/>
    </row>
    <row r="494" spans="4:28" s="1933" customFormat="1" ht="20.25" customHeight="1">
      <c r="D494" s="2482"/>
      <c r="E494" s="2482"/>
      <c r="F494" s="2482"/>
      <c r="G494" s="2482"/>
      <c r="H494" s="2482"/>
      <c r="I494" s="2482"/>
      <c r="J494" s="2482"/>
      <c r="K494" s="2482"/>
      <c r="L494" s="2482"/>
      <c r="M494" s="2482"/>
      <c r="N494" s="2482"/>
      <c r="O494" s="2482"/>
      <c r="P494" s="2482"/>
      <c r="Q494" s="2482"/>
      <c r="R494" s="1987"/>
      <c r="S494" s="1987"/>
      <c r="T494" s="1987"/>
      <c r="U494" s="1987"/>
      <c r="V494" s="1987"/>
      <c r="W494" s="1987"/>
      <c r="X494" s="1987"/>
      <c r="Y494" s="1987"/>
      <c r="Z494" s="1987"/>
      <c r="AA494" s="2489"/>
      <c r="AB494" s="1987"/>
    </row>
    <row r="495" spans="4:28" s="1933" customFormat="1" ht="20.25" customHeight="1">
      <c r="R495" s="1987"/>
      <c r="S495" s="1987"/>
      <c r="T495" s="1987"/>
      <c r="U495" s="1987"/>
      <c r="V495" s="1987"/>
      <c r="W495" s="1987"/>
      <c r="X495" s="1987"/>
      <c r="Y495" s="1987"/>
      <c r="Z495" s="1987"/>
      <c r="AA495" s="2489"/>
      <c r="AB495" s="1987"/>
    </row>
    <row r="496" spans="4:28" s="1933" customFormat="1" ht="20.25" customHeight="1">
      <c r="R496" s="1987"/>
      <c r="S496" s="1987"/>
      <c r="T496" s="1987"/>
      <c r="U496" s="1987"/>
      <c r="V496" s="1987"/>
      <c r="W496" s="1987"/>
      <c r="X496" s="1987"/>
      <c r="Y496" s="1987"/>
      <c r="Z496" s="1987"/>
      <c r="AA496" s="2489"/>
      <c r="AB496" s="1987"/>
    </row>
    <row r="497" spans="18:28" s="1933" customFormat="1" ht="20.25" customHeight="1">
      <c r="R497" s="1987"/>
      <c r="S497" s="1987"/>
      <c r="T497" s="1987"/>
      <c r="U497" s="1987"/>
      <c r="V497" s="1987"/>
      <c r="W497" s="1987"/>
      <c r="X497" s="1987"/>
      <c r="Y497" s="1987"/>
      <c r="Z497" s="1987"/>
      <c r="AA497" s="2489"/>
      <c r="AB497" s="1987"/>
    </row>
    <row r="498" spans="18:28" s="1933" customFormat="1" ht="20.25" customHeight="1">
      <c r="R498" s="1987"/>
      <c r="S498" s="1987"/>
      <c r="T498" s="1987"/>
      <c r="U498" s="1987"/>
      <c r="V498" s="1987"/>
      <c r="W498" s="1987"/>
      <c r="X498" s="1987"/>
      <c r="Y498" s="1987"/>
      <c r="Z498" s="1987"/>
      <c r="AA498" s="2489"/>
      <c r="AB498" s="1987"/>
    </row>
    <row r="499" spans="18:28" s="1933" customFormat="1" ht="20.25" customHeight="1">
      <c r="R499" s="1987"/>
      <c r="S499" s="1987"/>
      <c r="T499" s="1987"/>
      <c r="U499" s="1987"/>
      <c r="V499" s="1987"/>
      <c r="W499" s="1987"/>
      <c r="X499" s="1987"/>
      <c r="Y499" s="1987"/>
      <c r="Z499" s="1987"/>
      <c r="AA499" s="2489"/>
      <c r="AB499" s="1987"/>
    </row>
    <row r="500" spans="18:28" s="1933" customFormat="1" ht="20.25" customHeight="1">
      <c r="R500" s="1987"/>
      <c r="S500" s="1987"/>
      <c r="T500" s="1987"/>
      <c r="U500" s="1987"/>
      <c r="V500" s="1987"/>
      <c r="W500" s="1987"/>
      <c r="X500" s="1987"/>
      <c r="Y500" s="1987"/>
      <c r="Z500" s="1987"/>
      <c r="AA500" s="2489"/>
      <c r="AB500" s="1987"/>
    </row>
    <row r="501" spans="18:28" s="1933" customFormat="1" ht="20.25" customHeight="1">
      <c r="R501" s="1987"/>
      <c r="S501" s="1987"/>
      <c r="T501" s="1987"/>
      <c r="U501" s="1987"/>
      <c r="V501" s="1987"/>
      <c r="W501" s="1987"/>
      <c r="X501" s="1987"/>
      <c r="Y501" s="1987"/>
      <c r="Z501" s="1987"/>
      <c r="AA501" s="2489"/>
      <c r="AB501" s="1987"/>
    </row>
    <row r="502" spans="18:28" s="1933" customFormat="1" ht="20.25" customHeight="1">
      <c r="R502" s="1987"/>
      <c r="S502" s="1987"/>
      <c r="T502" s="1987"/>
      <c r="U502" s="1987"/>
      <c r="V502" s="1987"/>
      <c r="W502" s="1987"/>
      <c r="X502" s="1987"/>
      <c r="Y502" s="1987"/>
      <c r="Z502" s="1987"/>
      <c r="AA502" s="2489"/>
      <c r="AB502" s="1987"/>
    </row>
    <row r="503" spans="18:28" s="1933" customFormat="1" ht="20.25" customHeight="1">
      <c r="R503" s="1987"/>
      <c r="S503" s="1987"/>
      <c r="T503" s="1987"/>
      <c r="U503" s="1987"/>
      <c r="V503" s="1987"/>
      <c r="W503" s="1987"/>
      <c r="X503" s="1987"/>
      <c r="Y503" s="1987"/>
      <c r="Z503" s="1987"/>
      <c r="AA503" s="2489"/>
      <c r="AB503" s="1987"/>
    </row>
    <row r="504" spans="18:28" s="1933" customFormat="1" ht="20.25" customHeight="1">
      <c r="R504" s="1987"/>
      <c r="S504" s="1987"/>
      <c r="T504" s="1987"/>
      <c r="U504" s="1987"/>
      <c r="V504" s="1987"/>
      <c r="W504" s="1987"/>
      <c r="X504" s="1987"/>
      <c r="Y504" s="1987"/>
      <c r="Z504" s="1987"/>
      <c r="AA504" s="2489"/>
      <c r="AB504" s="1987"/>
    </row>
    <row r="505" spans="18:28" s="1933" customFormat="1" ht="20.25" customHeight="1">
      <c r="R505" s="1987"/>
      <c r="S505" s="1987"/>
      <c r="T505" s="1987"/>
      <c r="U505" s="1987"/>
      <c r="V505" s="1987"/>
      <c r="W505" s="1987"/>
      <c r="X505" s="1987"/>
      <c r="Y505" s="1987"/>
      <c r="Z505" s="1987"/>
      <c r="AA505" s="2489"/>
      <c r="AB505" s="1987"/>
    </row>
    <row r="506" spans="18:28" s="1933" customFormat="1" ht="20.25" customHeight="1">
      <c r="R506" s="1987"/>
      <c r="S506" s="1987"/>
      <c r="T506" s="1987"/>
      <c r="U506" s="1987"/>
      <c r="V506" s="1987"/>
      <c r="W506" s="1987"/>
      <c r="X506" s="1987"/>
      <c r="Y506" s="1987"/>
      <c r="Z506" s="1987"/>
      <c r="AA506" s="2489"/>
      <c r="AB506" s="1987"/>
    </row>
    <row r="507" spans="18:28" s="1933" customFormat="1" ht="20.25" customHeight="1">
      <c r="R507" s="1987"/>
      <c r="S507" s="1987"/>
      <c r="T507" s="1987"/>
      <c r="U507" s="1987"/>
      <c r="V507" s="1987"/>
      <c r="W507" s="1987"/>
      <c r="X507" s="1987"/>
      <c r="Y507" s="1987"/>
      <c r="Z507" s="1987"/>
      <c r="AA507" s="2489"/>
      <c r="AB507" s="1987"/>
    </row>
    <row r="508" spans="18:28" s="1933" customFormat="1" ht="20.25" customHeight="1">
      <c r="R508" s="1987"/>
      <c r="S508" s="1987"/>
      <c r="T508" s="1987"/>
      <c r="U508" s="1987"/>
      <c r="V508" s="1987"/>
      <c r="W508" s="1987"/>
      <c r="X508" s="1987"/>
      <c r="Y508" s="1987"/>
      <c r="Z508" s="1987"/>
      <c r="AA508" s="2489"/>
      <c r="AB508" s="1987"/>
    </row>
    <row r="509" spans="18:28" s="1933" customFormat="1" ht="20.25" customHeight="1">
      <c r="R509" s="1987"/>
      <c r="S509" s="1987"/>
      <c r="T509" s="1987"/>
      <c r="U509" s="1987"/>
      <c r="V509" s="1987"/>
      <c r="W509" s="1987"/>
      <c r="X509" s="1987"/>
      <c r="Y509" s="1987"/>
      <c r="Z509" s="1987"/>
      <c r="AA509" s="2489"/>
      <c r="AB509" s="1987"/>
    </row>
    <row r="510" spans="18:28" s="1933" customFormat="1" ht="20.25" customHeight="1">
      <c r="R510" s="1987"/>
      <c r="S510" s="1987"/>
      <c r="T510" s="1987"/>
      <c r="U510" s="1987"/>
      <c r="V510" s="1987"/>
      <c r="W510" s="1987"/>
      <c r="X510" s="1987"/>
      <c r="Y510" s="1987"/>
      <c r="Z510" s="1987"/>
      <c r="AA510" s="2489"/>
      <c r="AB510" s="1987"/>
    </row>
    <row r="511" spans="18:28" s="1933" customFormat="1" ht="20.25" customHeight="1">
      <c r="R511" s="1987"/>
      <c r="S511" s="1987"/>
      <c r="T511" s="1987"/>
      <c r="U511" s="1987"/>
      <c r="V511" s="1987"/>
      <c r="W511" s="1987"/>
      <c r="X511" s="1987"/>
      <c r="Y511" s="1987"/>
      <c r="Z511" s="1987"/>
      <c r="AA511" s="2489"/>
      <c r="AB511" s="1987"/>
    </row>
    <row r="512" spans="18:28" s="1933" customFormat="1" ht="20.25" customHeight="1">
      <c r="R512" s="1987"/>
      <c r="S512" s="1987"/>
      <c r="T512" s="1987"/>
      <c r="U512" s="1987"/>
      <c r="V512" s="1987"/>
      <c r="W512" s="1987"/>
      <c r="X512" s="1987"/>
      <c r="Y512" s="1987"/>
      <c r="Z512" s="1987"/>
      <c r="AA512" s="2489"/>
      <c r="AB512" s="1987"/>
    </row>
    <row r="513" spans="18:28" s="1933" customFormat="1" ht="20.25" customHeight="1">
      <c r="R513" s="1987"/>
      <c r="S513" s="1987"/>
      <c r="T513" s="1987"/>
      <c r="U513" s="1987"/>
      <c r="V513" s="1987"/>
      <c r="W513" s="1987"/>
      <c r="X513" s="1987"/>
      <c r="Y513" s="1987"/>
      <c r="Z513" s="1987"/>
      <c r="AA513" s="2489"/>
      <c r="AB513" s="1987"/>
    </row>
    <row r="514" spans="18:28" s="1933" customFormat="1" ht="20.25" customHeight="1">
      <c r="R514" s="1987"/>
      <c r="S514" s="1987"/>
      <c r="T514" s="1987"/>
      <c r="U514" s="1987"/>
      <c r="V514" s="1987"/>
      <c r="W514" s="1987"/>
      <c r="X514" s="1987"/>
      <c r="Y514" s="1987"/>
      <c r="Z514" s="1987"/>
      <c r="AA514" s="2489"/>
      <c r="AB514" s="1987"/>
    </row>
    <row r="515" spans="18:28" s="1933" customFormat="1" ht="20.25" customHeight="1">
      <c r="R515" s="1987"/>
      <c r="S515" s="1987"/>
      <c r="T515" s="1987"/>
      <c r="U515" s="1987"/>
      <c r="V515" s="1987"/>
      <c r="W515" s="1987"/>
      <c r="X515" s="1987"/>
      <c r="Y515" s="1987"/>
      <c r="Z515" s="1987"/>
      <c r="AA515" s="2489"/>
      <c r="AB515" s="1987"/>
    </row>
    <row r="516" spans="18:28" s="1933" customFormat="1" ht="20.25" customHeight="1">
      <c r="R516" s="1987"/>
      <c r="S516" s="1987"/>
      <c r="T516" s="1987"/>
      <c r="U516" s="1987"/>
      <c r="V516" s="1987"/>
      <c r="W516" s="1987"/>
      <c r="X516" s="1987"/>
      <c r="Y516" s="1987"/>
      <c r="Z516" s="1987"/>
      <c r="AA516" s="2489"/>
      <c r="AB516" s="1987"/>
    </row>
    <row r="517" spans="18:28" s="1933" customFormat="1" ht="20.25" customHeight="1">
      <c r="R517" s="1987"/>
      <c r="S517" s="1987"/>
      <c r="T517" s="1987"/>
      <c r="U517" s="1987"/>
      <c r="V517" s="1987"/>
      <c r="W517" s="1987"/>
      <c r="X517" s="1987"/>
      <c r="Y517" s="1987"/>
      <c r="Z517" s="1987"/>
      <c r="AA517" s="2489"/>
      <c r="AB517" s="1987"/>
    </row>
    <row r="518" spans="18:28" s="1933" customFormat="1" ht="20.25" customHeight="1">
      <c r="R518" s="1987"/>
      <c r="S518" s="1987"/>
      <c r="T518" s="1987"/>
      <c r="U518" s="1987"/>
      <c r="V518" s="1987"/>
      <c r="W518" s="1987"/>
      <c r="X518" s="1987"/>
      <c r="Y518" s="1987"/>
      <c r="Z518" s="1987"/>
      <c r="AA518" s="2489"/>
      <c r="AB518" s="1987"/>
    </row>
    <row r="519" spans="18:28" s="1933" customFormat="1" ht="20.25" customHeight="1">
      <c r="R519" s="1987"/>
      <c r="S519" s="1987"/>
      <c r="T519" s="1987"/>
      <c r="U519" s="1987"/>
      <c r="V519" s="1987"/>
      <c r="W519" s="1987"/>
      <c r="X519" s="1987"/>
      <c r="Y519" s="1987"/>
      <c r="Z519" s="1987"/>
      <c r="AA519" s="2489"/>
      <c r="AB519" s="1987"/>
    </row>
    <row r="520" spans="18:28" s="1933" customFormat="1" ht="20.25" customHeight="1">
      <c r="R520" s="1987"/>
      <c r="S520" s="1987"/>
      <c r="T520" s="1987"/>
      <c r="U520" s="1987"/>
      <c r="V520" s="1987"/>
      <c r="W520" s="1987"/>
      <c r="X520" s="1987"/>
      <c r="Y520" s="1987"/>
      <c r="Z520" s="1987"/>
      <c r="AA520" s="2489"/>
      <c r="AB520" s="1987"/>
    </row>
    <row r="521" spans="18:28" s="1933" customFormat="1" ht="20.25" customHeight="1">
      <c r="R521" s="1987"/>
      <c r="S521" s="1987"/>
      <c r="T521" s="1987"/>
      <c r="U521" s="1987"/>
      <c r="V521" s="1987"/>
      <c r="W521" s="1987"/>
      <c r="X521" s="1987"/>
      <c r="Y521" s="1987"/>
      <c r="Z521" s="1987"/>
      <c r="AA521" s="2489"/>
      <c r="AB521" s="1987"/>
    </row>
    <row r="522" spans="18:28" s="1933" customFormat="1" ht="20.25" customHeight="1">
      <c r="R522" s="1987"/>
      <c r="S522" s="1987"/>
      <c r="T522" s="1987"/>
      <c r="U522" s="1987"/>
      <c r="V522" s="1987"/>
      <c r="W522" s="1987"/>
      <c r="X522" s="1987"/>
      <c r="Y522" s="1987"/>
      <c r="Z522" s="1987"/>
      <c r="AA522" s="2489"/>
      <c r="AB522" s="1987"/>
    </row>
    <row r="523" spans="18:28" s="1933" customFormat="1" ht="20.25" customHeight="1">
      <c r="R523" s="1987"/>
      <c r="S523" s="1987"/>
      <c r="T523" s="1987"/>
      <c r="U523" s="1987"/>
      <c r="V523" s="1987"/>
      <c r="W523" s="1987"/>
      <c r="X523" s="1987"/>
      <c r="Y523" s="1987"/>
      <c r="Z523" s="1987"/>
      <c r="AA523" s="2489"/>
      <c r="AB523" s="1987"/>
    </row>
    <row r="524" spans="18:28" s="1933" customFormat="1" ht="20.25" customHeight="1">
      <c r="R524" s="1987"/>
      <c r="S524" s="1987"/>
      <c r="T524" s="1987"/>
      <c r="U524" s="1987"/>
      <c r="V524" s="1987"/>
      <c r="W524" s="1987"/>
      <c r="X524" s="1987"/>
      <c r="Y524" s="1987"/>
      <c r="Z524" s="1987"/>
      <c r="AA524" s="2489"/>
      <c r="AB524" s="1987"/>
    </row>
    <row r="525" spans="18:28" s="1933" customFormat="1" ht="20.25" customHeight="1">
      <c r="R525" s="1987"/>
      <c r="S525" s="1987"/>
      <c r="T525" s="1987"/>
      <c r="U525" s="1987"/>
      <c r="V525" s="1987"/>
      <c r="W525" s="1987"/>
      <c r="X525" s="1987"/>
      <c r="Y525" s="1987"/>
      <c r="Z525" s="1987"/>
      <c r="AA525" s="2489"/>
      <c r="AB525" s="1987"/>
    </row>
    <row r="526" spans="18:28" s="1933" customFormat="1" ht="20.25" customHeight="1">
      <c r="R526" s="1987"/>
      <c r="S526" s="1987"/>
      <c r="T526" s="1987"/>
      <c r="U526" s="1987"/>
      <c r="V526" s="1987"/>
      <c r="W526" s="1987"/>
      <c r="X526" s="1987"/>
      <c r="Y526" s="1987"/>
      <c r="Z526" s="1987"/>
      <c r="AA526" s="2489"/>
      <c r="AB526" s="1987"/>
    </row>
    <row r="527" spans="18:28" s="1933" customFormat="1" ht="20.25" customHeight="1">
      <c r="R527" s="1987"/>
      <c r="S527" s="1987"/>
      <c r="T527" s="1987"/>
      <c r="U527" s="1987"/>
      <c r="V527" s="1987"/>
      <c r="W527" s="1987"/>
      <c r="X527" s="1987"/>
      <c r="Y527" s="1987"/>
      <c r="Z527" s="1987"/>
      <c r="AA527" s="2489"/>
      <c r="AB527" s="1987"/>
    </row>
    <row r="528" spans="18:28" s="1933" customFormat="1" ht="20.25" customHeight="1">
      <c r="R528" s="1987"/>
      <c r="S528" s="1987"/>
      <c r="T528" s="1987"/>
      <c r="U528" s="1987"/>
      <c r="V528" s="1987"/>
      <c r="W528" s="1987"/>
      <c r="X528" s="1987"/>
      <c r="Y528" s="1987"/>
      <c r="Z528" s="1987"/>
      <c r="AA528" s="2489"/>
      <c r="AB528" s="1987"/>
    </row>
    <row r="529" spans="18:28" s="1933" customFormat="1" ht="20.25" customHeight="1">
      <c r="R529" s="1987"/>
      <c r="S529" s="1987"/>
      <c r="T529" s="1987"/>
      <c r="U529" s="1987"/>
      <c r="V529" s="1987"/>
      <c r="W529" s="1987"/>
      <c r="X529" s="1987"/>
      <c r="Y529" s="1987"/>
      <c r="Z529" s="1987"/>
      <c r="AA529" s="2489"/>
      <c r="AB529" s="1987"/>
    </row>
    <row r="530" spans="18:28" s="1933" customFormat="1" ht="20.25" customHeight="1">
      <c r="R530" s="1987"/>
      <c r="S530" s="1987"/>
      <c r="T530" s="1987"/>
      <c r="U530" s="1987"/>
      <c r="V530" s="1987"/>
      <c r="W530" s="1987"/>
      <c r="X530" s="1987"/>
      <c r="Y530" s="1987"/>
      <c r="Z530" s="1987"/>
      <c r="AA530" s="2489"/>
      <c r="AB530" s="1987"/>
    </row>
    <row r="531" spans="18:28" s="1933" customFormat="1" ht="20.25" customHeight="1">
      <c r="R531" s="1987"/>
      <c r="S531" s="1987"/>
      <c r="T531" s="1987"/>
      <c r="U531" s="1987"/>
      <c r="V531" s="1987"/>
      <c r="W531" s="1987"/>
      <c r="X531" s="1987"/>
      <c r="Y531" s="1987"/>
      <c r="Z531" s="1987"/>
      <c r="AA531" s="2489"/>
      <c r="AB531" s="1987"/>
    </row>
    <row r="532" spans="18:28" s="1933" customFormat="1" ht="20.25" customHeight="1">
      <c r="R532" s="1987"/>
      <c r="S532" s="1987"/>
      <c r="T532" s="1987"/>
      <c r="U532" s="1987"/>
      <c r="V532" s="1987"/>
      <c r="W532" s="1987"/>
      <c r="X532" s="1987"/>
      <c r="Y532" s="1987"/>
      <c r="Z532" s="1987"/>
      <c r="AA532" s="2489"/>
      <c r="AB532" s="1987"/>
    </row>
    <row r="533" spans="18:28" s="1933" customFormat="1" ht="20.25" customHeight="1">
      <c r="R533" s="1987"/>
      <c r="S533" s="1987"/>
      <c r="T533" s="1987"/>
      <c r="U533" s="1987"/>
      <c r="V533" s="1987"/>
      <c r="W533" s="1987"/>
      <c r="X533" s="1987"/>
      <c r="Y533" s="1987"/>
      <c r="Z533" s="1987"/>
      <c r="AA533" s="2489"/>
      <c r="AB533" s="1987"/>
    </row>
    <row r="534" spans="18:28" s="1933" customFormat="1" ht="20.25" customHeight="1">
      <c r="R534" s="1987"/>
      <c r="S534" s="1987"/>
      <c r="T534" s="1987"/>
      <c r="U534" s="1987"/>
      <c r="V534" s="1987"/>
      <c r="W534" s="1987"/>
      <c r="X534" s="1987"/>
      <c r="Y534" s="1987"/>
      <c r="Z534" s="1987"/>
      <c r="AA534" s="2489"/>
      <c r="AB534" s="1987"/>
    </row>
    <row r="535" spans="18:28" s="1933" customFormat="1" ht="20.25" customHeight="1">
      <c r="R535" s="1987"/>
      <c r="S535" s="1987"/>
      <c r="T535" s="1987"/>
      <c r="U535" s="1987"/>
      <c r="V535" s="1987"/>
      <c r="W535" s="1987"/>
      <c r="X535" s="1987"/>
      <c r="Y535" s="1987"/>
      <c r="Z535" s="1987"/>
      <c r="AA535" s="2489"/>
      <c r="AB535" s="1987"/>
    </row>
    <row r="536" spans="18:28" s="1933" customFormat="1" ht="20.25" customHeight="1">
      <c r="R536" s="1987"/>
      <c r="S536" s="1987"/>
      <c r="T536" s="1987"/>
      <c r="U536" s="1987"/>
      <c r="V536" s="1987"/>
      <c r="W536" s="1987"/>
      <c r="X536" s="1987"/>
      <c r="Y536" s="1987"/>
      <c r="Z536" s="1987"/>
      <c r="AA536" s="2489"/>
      <c r="AB536" s="1987"/>
    </row>
    <row r="537" spans="18:28" s="1933" customFormat="1" ht="20.25" customHeight="1">
      <c r="R537" s="1987"/>
      <c r="S537" s="1987"/>
      <c r="T537" s="1987"/>
      <c r="U537" s="1987"/>
      <c r="V537" s="1987"/>
      <c r="W537" s="1987"/>
      <c r="X537" s="1987"/>
      <c r="Y537" s="1987"/>
      <c r="Z537" s="1987"/>
      <c r="AA537" s="2489"/>
      <c r="AB537" s="1987"/>
    </row>
    <row r="538" spans="18:28" s="1933" customFormat="1" ht="20.25" customHeight="1">
      <c r="R538" s="1987"/>
      <c r="S538" s="1987"/>
      <c r="T538" s="1987"/>
      <c r="U538" s="1987"/>
      <c r="V538" s="1987"/>
      <c r="W538" s="1987"/>
      <c r="X538" s="1987"/>
      <c r="Y538" s="1987"/>
      <c r="Z538" s="1987"/>
      <c r="AA538" s="2489"/>
      <c r="AB538" s="1987"/>
    </row>
    <row r="539" spans="18:28" s="1933" customFormat="1" ht="20.25" customHeight="1">
      <c r="R539" s="1987"/>
      <c r="S539" s="1987"/>
      <c r="T539" s="1987"/>
      <c r="U539" s="1987"/>
      <c r="V539" s="1987"/>
      <c r="W539" s="1987"/>
      <c r="X539" s="1987"/>
      <c r="Y539" s="1987"/>
      <c r="Z539" s="1987"/>
      <c r="AA539" s="2489"/>
      <c r="AB539" s="1987"/>
    </row>
    <row r="540" spans="18:28" s="1933" customFormat="1" ht="20.25" customHeight="1">
      <c r="R540" s="1987"/>
      <c r="S540" s="1987"/>
      <c r="T540" s="1987"/>
      <c r="U540" s="1987"/>
      <c r="V540" s="1987"/>
      <c r="W540" s="1987"/>
      <c r="X540" s="1987"/>
      <c r="Y540" s="1987"/>
      <c r="Z540" s="1987"/>
      <c r="AA540" s="2489"/>
      <c r="AB540" s="1987"/>
    </row>
    <row r="541" spans="18:28" s="1933" customFormat="1" ht="20.25" customHeight="1">
      <c r="R541" s="1987"/>
      <c r="S541" s="1987"/>
      <c r="T541" s="1987"/>
      <c r="U541" s="1987"/>
      <c r="V541" s="1987"/>
      <c r="W541" s="1987"/>
      <c r="X541" s="1987"/>
      <c r="Y541" s="1987"/>
      <c r="Z541" s="1987"/>
      <c r="AA541" s="2489"/>
      <c r="AB541" s="1987"/>
    </row>
    <row r="542" spans="18:28" s="1933" customFormat="1" ht="20.25" customHeight="1">
      <c r="R542" s="1987"/>
      <c r="S542" s="1987"/>
      <c r="T542" s="1987"/>
      <c r="U542" s="1987"/>
      <c r="V542" s="1987"/>
      <c r="W542" s="1987"/>
      <c r="X542" s="1987"/>
      <c r="Y542" s="1987"/>
      <c r="Z542" s="1987"/>
      <c r="AA542" s="2489"/>
      <c r="AB542" s="1987"/>
    </row>
    <row r="543" spans="18:28" s="1933" customFormat="1" ht="20.25" customHeight="1">
      <c r="R543" s="1987"/>
      <c r="S543" s="1987"/>
      <c r="T543" s="1987"/>
      <c r="U543" s="1987"/>
      <c r="V543" s="1987"/>
      <c r="W543" s="1987"/>
      <c r="X543" s="1987"/>
      <c r="Y543" s="1987"/>
      <c r="Z543" s="1987"/>
      <c r="AA543" s="2489"/>
      <c r="AB543" s="1987"/>
    </row>
    <row r="544" spans="18:28" s="1933" customFormat="1" ht="20.25" customHeight="1">
      <c r="R544" s="1987"/>
      <c r="S544" s="1987"/>
      <c r="T544" s="1987"/>
      <c r="U544" s="1987"/>
      <c r="V544" s="1987"/>
      <c r="W544" s="1987"/>
      <c r="X544" s="1987"/>
      <c r="Y544" s="1987"/>
      <c r="Z544" s="1987"/>
      <c r="AA544" s="2489"/>
      <c r="AB544" s="1987"/>
    </row>
    <row r="545" spans="10:28" s="1933" customFormat="1" ht="20.25" customHeight="1">
      <c r="R545" s="1987"/>
      <c r="S545" s="1987"/>
      <c r="T545" s="1987"/>
      <c r="U545" s="1987"/>
      <c r="V545" s="1987"/>
      <c r="W545" s="1987"/>
      <c r="X545" s="1987"/>
      <c r="Y545" s="1987"/>
      <c r="Z545" s="1987"/>
      <c r="AA545" s="2489"/>
      <c r="AB545" s="1987"/>
    </row>
    <row r="546" spans="10:28" s="1933" customFormat="1" ht="20.25" customHeight="1">
      <c r="R546" s="1987"/>
      <c r="S546" s="1987"/>
      <c r="T546" s="1987"/>
      <c r="U546" s="1987"/>
      <c r="V546" s="1987"/>
      <c r="W546" s="1987"/>
      <c r="X546" s="1987"/>
      <c r="Y546" s="1987"/>
      <c r="Z546" s="1987"/>
      <c r="AA546" s="2489"/>
      <c r="AB546" s="1987"/>
    </row>
    <row r="547" spans="10:28" s="1933" customFormat="1" ht="20.25" customHeight="1">
      <c r="R547" s="1987"/>
      <c r="S547" s="1987"/>
      <c r="T547" s="1987"/>
      <c r="U547" s="1987"/>
      <c r="V547" s="1987"/>
      <c r="W547" s="1987"/>
      <c r="X547" s="1987"/>
      <c r="Y547" s="1987"/>
      <c r="Z547" s="1987"/>
      <c r="AA547" s="2489"/>
      <c r="AB547" s="1987"/>
    </row>
    <row r="548" spans="10:28" s="1933" customFormat="1" ht="20.25" customHeight="1">
      <c r="R548" s="1987"/>
      <c r="S548" s="1987"/>
      <c r="T548" s="1987"/>
      <c r="U548" s="1987"/>
      <c r="V548" s="1987"/>
      <c r="W548" s="1987"/>
      <c r="X548" s="1987"/>
      <c r="Y548" s="1987"/>
      <c r="Z548" s="1987"/>
      <c r="AA548" s="2489"/>
      <c r="AB548" s="1987"/>
    </row>
    <row r="549" spans="10:28" s="1933" customFormat="1" ht="20.25" customHeight="1">
      <c r="R549" s="1987"/>
      <c r="S549" s="1987"/>
      <c r="T549" s="1987"/>
      <c r="U549" s="1987"/>
      <c r="V549" s="1987"/>
      <c r="W549" s="1987"/>
      <c r="X549" s="1987"/>
      <c r="Y549" s="1987"/>
      <c r="Z549" s="1987"/>
      <c r="AA549" s="2489"/>
      <c r="AB549" s="1987"/>
    </row>
    <row r="550" spans="10:28" s="1933" customFormat="1" ht="20.25" customHeight="1">
      <c r="R550" s="1987"/>
      <c r="S550" s="1987"/>
      <c r="T550" s="1987"/>
      <c r="U550" s="1987"/>
      <c r="V550" s="1987"/>
      <c r="W550" s="1987"/>
      <c r="X550" s="1987"/>
      <c r="Y550" s="1987"/>
      <c r="Z550" s="1987"/>
      <c r="AA550" s="2489"/>
      <c r="AB550" s="1987"/>
    </row>
    <row r="551" spans="10:28" s="1933" customFormat="1" ht="20.25" customHeight="1">
      <c r="R551" s="1987"/>
      <c r="S551" s="1987"/>
      <c r="T551" s="1987"/>
      <c r="U551" s="1987"/>
      <c r="V551" s="1987"/>
      <c r="W551" s="1987"/>
      <c r="X551" s="1987"/>
      <c r="Y551" s="1987"/>
      <c r="Z551" s="1987"/>
      <c r="AA551" s="2489"/>
      <c r="AB551" s="1987"/>
    </row>
    <row r="552" spans="10:28" s="1933" customFormat="1" ht="20.25" customHeight="1">
      <c r="R552" s="1987"/>
      <c r="S552" s="1987"/>
      <c r="T552" s="1987"/>
      <c r="U552" s="1987"/>
      <c r="V552" s="1987"/>
      <c r="W552" s="1987"/>
      <c r="X552" s="1987"/>
      <c r="Y552" s="1987"/>
      <c r="Z552" s="1987"/>
      <c r="AA552" s="2489"/>
      <c r="AB552" s="1987"/>
    </row>
    <row r="553" spans="10:28" s="1933" customFormat="1" ht="20.25" customHeight="1">
      <c r="R553" s="1987"/>
      <c r="S553" s="1987"/>
      <c r="T553" s="1987"/>
      <c r="U553" s="1987"/>
      <c r="V553" s="1987"/>
      <c r="W553" s="1987"/>
      <c r="X553" s="1987"/>
      <c r="Y553" s="1987"/>
      <c r="Z553" s="1987"/>
      <c r="AA553" s="2489"/>
      <c r="AB553" s="1987"/>
    </row>
    <row r="554" spans="10:28" s="1933" customFormat="1" ht="20.25" customHeight="1">
      <c r="R554" s="1987"/>
      <c r="S554" s="1987"/>
      <c r="T554" s="1987"/>
      <c r="U554" s="1987"/>
      <c r="V554" s="1987"/>
      <c r="W554" s="1987"/>
      <c r="X554" s="1987"/>
      <c r="Y554" s="1987"/>
      <c r="Z554" s="1987"/>
      <c r="AA554" s="2489"/>
      <c r="AB554" s="1987"/>
    </row>
    <row r="555" spans="10:28" s="1933" customFormat="1" ht="20.25" customHeight="1">
      <c r="R555" s="1987"/>
      <c r="S555" s="1987"/>
      <c r="T555" s="1987"/>
      <c r="U555" s="1987"/>
      <c r="V555" s="1987"/>
      <c r="W555" s="1987"/>
      <c r="X555" s="1987"/>
      <c r="Y555" s="1987"/>
      <c r="Z555" s="1987"/>
      <c r="AA555" s="2489"/>
      <c r="AB555" s="1987"/>
    </row>
    <row r="556" spans="10:28" s="1933" customFormat="1" ht="20.25" customHeight="1">
      <c r="R556" s="1987"/>
      <c r="S556" s="1987"/>
      <c r="T556" s="1987"/>
      <c r="U556" s="1987"/>
      <c r="V556" s="1987"/>
      <c r="W556" s="1987"/>
      <c r="X556" s="1987"/>
      <c r="Y556" s="1987"/>
      <c r="Z556" s="1987"/>
      <c r="AA556" s="2489"/>
      <c r="AB556" s="1987"/>
    </row>
    <row r="557" spans="10:28" s="1933" customFormat="1" ht="20.25" customHeight="1">
      <c r="R557" s="1987"/>
      <c r="S557" s="1987"/>
      <c r="T557" s="1987"/>
      <c r="U557" s="1987"/>
      <c r="V557" s="1987"/>
      <c r="W557" s="1987"/>
      <c r="X557" s="1987"/>
      <c r="Y557" s="1987"/>
      <c r="Z557" s="1987"/>
      <c r="AA557" s="2489"/>
      <c r="AB557" s="1987"/>
    </row>
    <row r="558" spans="10:28" s="1933" customFormat="1" ht="20.25" customHeight="1">
      <c r="R558" s="1987"/>
      <c r="S558" s="1987"/>
      <c r="T558" s="1987"/>
      <c r="U558" s="1987"/>
      <c r="V558" s="1987"/>
      <c r="W558" s="1987"/>
      <c r="X558" s="1987"/>
      <c r="Y558" s="1987"/>
      <c r="Z558" s="1987"/>
      <c r="AA558" s="2489"/>
      <c r="AB558" s="1987"/>
    </row>
    <row r="559" spans="10:28" s="1933" customFormat="1" ht="20.25" customHeight="1">
      <c r="R559" s="1987"/>
      <c r="S559" s="1987"/>
      <c r="T559" s="1987"/>
      <c r="U559" s="1987"/>
      <c r="V559" s="1987"/>
      <c r="W559" s="1987"/>
      <c r="X559" s="1987"/>
      <c r="Y559" s="1987"/>
      <c r="Z559" s="1987"/>
      <c r="AA559" s="2489"/>
      <c r="AB559" s="1987"/>
    </row>
    <row r="560" spans="10:28" s="1933" customFormat="1" ht="20.25" customHeight="1">
      <c r="J560" s="1941"/>
      <c r="R560" s="1987"/>
      <c r="S560" s="1987"/>
      <c r="T560" s="1987"/>
      <c r="U560" s="1987"/>
      <c r="V560" s="1987"/>
      <c r="W560" s="1987"/>
      <c r="X560" s="1987"/>
      <c r="Y560" s="1987"/>
      <c r="Z560" s="1987"/>
      <c r="AA560" s="2489"/>
      <c r="AB560" s="1987"/>
    </row>
    <row r="561" spans="1:28" s="1933" customFormat="1" ht="20.25" customHeight="1">
      <c r="A561" s="1931"/>
      <c r="B561" s="1931"/>
      <c r="C561" s="1931"/>
      <c r="G561" s="1941"/>
      <c r="H561" s="1941"/>
      <c r="I561" s="1941"/>
      <c r="J561" s="1941"/>
      <c r="K561" s="1931"/>
      <c r="L561" s="1931"/>
      <c r="M561" s="1931"/>
      <c r="P561" s="1941"/>
      <c r="Q561" s="1931"/>
      <c r="R561" s="1987"/>
      <c r="S561" s="1987"/>
      <c r="T561" s="1987"/>
      <c r="U561" s="1987"/>
      <c r="V561" s="1987"/>
      <c r="W561" s="1987"/>
      <c r="X561" s="1987"/>
      <c r="Y561" s="1987"/>
      <c r="Z561" s="1987"/>
      <c r="AA561" s="2489"/>
      <c r="AB561" s="1987"/>
    </row>
    <row r="562" spans="1:28" s="1933" customFormat="1" ht="20.25" customHeight="1">
      <c r="A562" s="1941"/>
      <c r="B562" s="1941"/>
      <c r="C562" s="1941"/>
      <c r="G562" s="1941"/>
      <c r="H562" s="1941"/>
      <c r="I562" s="1941"/>
      <c r="J562" s="1941"/>
      <c r="K562" s="1941"/>
      <c r="L562" s="1941"/>
      <c r="M562" s="1941"/>
      <c r="O562" s="1941"/>
      <c r="P562" s="1941"/>
      <c r="Q562" s="1941"/>
      <c r="R562" s="1987"/>
      <c r="S562" s="1987"/>
      <c r="T562" s="1987"/>
      <c r="U562" s="1987"/>
      <c r="V562" s="1987"/>
      <c r="W562" s="1987"/>
      <c r="X562" s="1987"/>
      <c r="Y562" s="1987"/>
      <c r="Z562" s="1987"/>
      <c r="AA562" s="2489"/>
      <c r="AB562" s="1987"/>
    </row>
    <row r="563" spans="1:28" ht="20.25" customHeight="1">
      <c r="A563" s="1941"/>
      <c r="B563" s="1941"/>
      <c r="C563" s="1941"/>
      <c r="G563" s="1941"/>
      <c r="H563" s="1941"/>
      <c r="I563" s="1941"/>
      <c r="J563" s="1941"/>
      <c r="K563" s="1941"/>
      <c r="L563" s="1941"/>
      <c r="M563" s="1941"/>
      <c r="O563" s="1941"/>
      <c r="P563" s="1941"/>
      <c r="Q563" s="1941"/>
      <c r="R563" s="1987"/>
      <c r="S563" s="1987"/>
    </row>
    <row r="564" spans="1:28" ht="20.25" customHeight="1">
      <c r="A564" s="1941"/>
      <c r="B564" s="1941"/>
      <c r="C564" s="1941"/>
      <c r="G564" s="1941"/>
      <c r="H564" s="1941"/>
      <c r="I564" s="1941"/>
      <c r="J564" s="1941"/>
      <c r="K564" s="1941"/>
      <c r="L564" s="1941"/>
      <c r="M564" s="1941"/>
      <c r="O564" s="1941"/>
      <c r="P564" s="1941"/>
      <c r="Q564" s="1941"/>
      <c r="R564" s="1987"/>
      <c r="S564" s="1987"/>
    </row>
    <row r="565" spans="1:28" ht="20.25" customHeight="1">
      <c r="A565" s="1941"/>
      <c r="B565" s="1941"/>
      <c r="C565" s="1941"/>
      <c r="I565" s="1941"/>
      <c r="K565" s="1941"/>
      <c r="L565" s="1941"/>
      <c r="M565" s="1941"/>
      <c r="O565" s="1941"/>
      <c r="Q565" s="1941"/>
      <c r="R565" s="1987"/>
      <c r="S565" s="1987"/>
    </row>
    <row r="566" spans="1:28" ht="20.25" customHeight="1">
      <c r="A566" s="1941"/>
      <c r="B566" s="1941"/>
      <c r="C566" s="1941"/>
      <c r="K566" s="1941"/>
      <c r="L566" s="1941"/>
      <c r="M566" s="1941"/>
      <c r="O566" s="1941"/>
      <c r="Q566" s="1941"/>
      <c r="R566" s="1987"/>
      <c r="S566" s="1987"/>
    </row>
    <row r="567" spans="1:28">
      <c r="R567" s="1987"/>
      <c r="S567" s="1987"/>
    </row>
    <row r="568" spans="1:28">
      <c r="R568" s="1987"/>
      <c r="S568" s="1987"/>
    </row>
  </sheetData>
  <sheetProtection algorithmName="SHA-512" hashValue="ye+hurSSnehSUYHDycne+mCa9t4dySOGrbNdl8iAD7XDzkxooCp/hqvygso0+yIbfm/f0nNEA3OvNpVK+bPUwg==" saltValue="FjPZlD3Q0rSIs68PC8u8kg=="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rintOptions horizontalCentered="1"/>
  <pageMargins left="0.25" right="0.25" top="0.75" bottom="0.5" header="0.3" footer="0.3"/>
  <pageSetup scale="89" fitToHeight="0" orientation="landscape"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dimension ref="A1:BF803"/>
  <sheetViews>
    <sheetView showGridLines="0" topLeftCell="A137" zoomScaleNormal="100" zoomScaleSheetLayoutView="130" workbookViewId="0">
      <selection activeCell="O141" sqref="O141:P141"/>
    </sheetView>
  </sheetViews>
  <sheetFormatPr defaultColWidth="9.28515625" defaultRowHeight="15"/>
  <cols>
    <col min="1" max="1" width="6" style="2106" customWidth="1"/>
    <col min="2" max="2" width="3.42578125" style="2106" customWidth="1"/>
    <col min="3" max="3" width="12.42578125" style="2106" customWidth="1"/>
    <col min="4" max="4" width="12.140625" style="2106" customWidth="1"/>
    <col min="5" max="5" width="7.42578125" style="2106" customWidth="1"/>
    <col min="6" max="6" width="13.5703125" style="2106" customWidth="1"/>
    <col min="7" max="9" width="14.140625" style="2106" customWidth="1"/>
    <col min="10" max="10" width="10.5703125" style="2106" customWidth="1"/>
    <col min="11" max="11" width="13.42578125" style="2106" customWidth="1"/>
    <col min="12" max="12" width="14.7109375" style="2106" customWidth="1"/>
    <col min="13" max="13" width="6.7109375" style="2106" customWidth="1"/>
    <col min="14" max="14" width="2.7109375" style="2127" customWidth="1"/>
    <col min="15" max="15" width="7.7109375" style="2119" customWidth="1"/>
    <col min="16" max="16" width="8" style="2119" customWidth="1"/>
    <col min="17" max="17" width="6" style="2106" customWidth="1"/>
    <col min="18" max="20" width="9.28515625" style="2106"/>
    <col min="21" max="21" width="10" style="2106" customWidth="1"/>
    <col min="22" max="22" width="10.85546875" style="2106" customWidth="1"/>
    <col min="23" max="23" width="10" style="2106" customWidth="1"/>
    <col min="24" max="24" width="12.42578125" style="2106" customWidth="1"/>
    <col min="25" max="25" width="10.42578125" style="2106" customWidth="1"/>
    <col min="26" max="27" width="9.28515625" style="2106"/>
    <col min="28" max="32" width="10.42578125" style="2106" customWidth="1"/>
    <col min="33" max="38" width="9.28515625" style="2106"/>
    <col min="39" max="39" width="9.28515625" style="2127"/>
    <col min="40" max="42" width="9.28515625" style="2106"/>
    <col min="43" max="47" width="10.42578125" style="2106" customWidth="1"/>
    <col min="48" max="16384" width="9.28515625" style="2106"/>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Redland Trace, Lawrenceville, Gwinnett County</v>
      </c>
      <c r="B1" s="3747"/>
      <c r="C1" s="3747"/>
      <c r="D1" s="3747"/>
      <c r="E1" s="3747"/>
      <c r="F1" s="3747"/>
      <c r="G1" s="3747"/>
      <c r="H1" s="3747"/>
      <c r="I1" s="3747"/>
      <c r="J1" s="3747"/>
      <c r="K1" s="3747"/>
      <c r="L1" s="3747"/>
      <c r="M1" s="3747"/>
      <c r="N1" s="3747"/>
      <c r="O1" s="3747"/>
      <c r="P1" s="3748"/>
      <c r="Q1" s="2104"/>
      <c r="R1" s="2104"/>
      <c r="S1" s="2104"/>
      <c r="T1" s="2104"/>
      <c r="U1" s="2104"/>
      <c r="V1" s="2104"/>
      <c r="W1" s="2104"/>
      <c r="X1" s="2105"/>
      <c r="AM1" s="2492">
        <v>1</v>
      </c>
    </row>
    <row r="2" spans="1:39" ht="4.3499999999999996" customHeight="1">
      <c r="A2" s="2107"/>
      <c r="B2" s="2107"/>
      <c r="C2" s="2108"/>
      <c r="D2" s="2107"/>
      <c r="E2" s="2107"/>
      <c r="F2" s="2107"/>
      <c r="G2" s="2107"/>
      <c r="H2" s="2107"/>
      <c r="I2" s="2107"/>
      <c r="J2" s="2107"/>
      <c r="K2" s="2107"/>
      <c r="L2" s="2107"/>
      <c r="M2" s="2109"/>
      <c r="N2" s="2109"/>
      <c r="O2" s="2110"/>
      <c r="P2" s="2110"/>
      <c r="Q2" s="2104"/>
      <c r="R2" s="2104"/>
      <c r="S2" s="2104"/>
      <c r="T2" s="2104"/>
      <c r="U2" s="2104"/>
      <c r="V2" s="2104"/>
      <c r="W2" s="2104"/>
      <c r="X2" s="2105"/>
      <c r="AM2" s="2492">
        <v>2</v>
      </c>
    </row>
    <row r="3" spans="1:39" s="2107" customFormat="1" ht="20.45" customHeight="1">
      <c r="A3" s="3749" t="s">
        <v>5017</v>
      </c>
      <c r="B3" s="3749"/>
      <c r="C3" s="3749"/>
      <c r="D3" s="3749"/>
      <c r="E3" s="3749"/>
      <c r="F3" s="3749"/>
      <c r="G3" s="3749"/>
      <c r="H3" s="3749"/>
      <c r="I3" s="3749"/>
      <c r="J3" s="3749"/>
      <c r="K3" s="3749"/>
      <c r="L3" s="3749"/>
      <c r="M3" s="2111" t="s">
        <v>4732</v>
      </c>
      <c r="N3" s="2109"/>
      <c r="O3" s="2112" t="s">
        <v>2045</v>
      </c>
      <c r="P3" s="2111" t="s">
        <v>245</v>
      </c>
      <c r="Q3" s="2104"/>
      <c r="R3" s="2104"/>
      <c r="S3" s="2104"/>
      <c r="T3" s="2104"/>
      <c r="U3" s="2104"/>
      <c r="V3" s="2113"/>
      <c r="W3" s="2113"/>
      <c r="X3" s="2114"/>
      <c r="AM3" s="2493">
        <v>3</v>
      </c>
    </row>
    <row r="4" spans="1:39" s="2107" customFormat="1" ht="16.5" customHeight="1">
      <c r="A4" s="3749"/>
      <c r="B4" s="3749"/>
      <c r="C4" s="3749"/>
      <c r="D4" s="3749"/>
      <c r="E4" s="3749"/>
      <c r="F4" s="3749"/>
      <c r="G4" s="3749"/>
      <c r="H4" s="3749"/>
      <c r="I4" s="3749"/>
      <c r="J4" s="3749"/>
      <c r="K4" s="3749"/>
      <c r="L4" s="3749"/>
      <c r="M4" s="2115" t="s">
        <v>2046</v>
      </c>
      <c r="N4" s="2116"/>
      <c r="O4" s="2115" t="s">
        <v>2046</v>
      </c>
      <c r="P4" s="2115" t="s">
        <v>2046</v>
      </c>
      <c r="Q4" s="2104"/>
      <c r="R4" s="2104"/>
      <c r="S4" s="2104"/>
      <c r="T4" s="2104"/>
      <c r="U4" s="2104"/>
      <c r="V4" s="2113"/>
      <c r="AM4" s="2493">
        <v>4</v>
      </c>
    </row>
    <row r="5" spans="1:39" s="2107" customFormat="1" ht="3" customHeight="1" thickBot="1">
      <c r="M5" s="2117"/>
      <c r="N5" s="2118"/>
      <c r="O5" s="2110"/>
      <c r="P5" s="2119"/>
      <c r="Q5" s="2104"/>
      <c r="R5" s="2104"/>
      <c r="S5" s="2104"/>
      <c r="T5" s="2104"/>
      <c r="U5" s="2104"/>
      <c r="V5" s="2113"/>
      <c r="AM5" s="2493">
        <v>5</v>
      </c>
    </row>
    <row r="6" spans="1:39" s="2107" customFormat="1" ht="13.5" customHeight="1" thickTop="1" thickBot="1">
      <c r="B6" s="3750" t="str">
        <f>'Part I-Project Identification'!$A$6</f>
        <v>2024 May 7</v>
      </c>
      <c r="C6" s="3750"/>
      <c r="D6" s="3750"/>
      <c r="E6" s="3750"/>
      <c r="F6" s="3750"/>
      <c r="L6" s="2110" t="s">
        <v>1151</v>
      </c>
      <c r="M6" s="2120"/>
      <c r="N6" s="2121"/>
      <c r="O6" s="2122">
        <f>O407</f>
        <v>81</v>
      </c>
      <c r="P6" s="2122">
        <f>P407</f>
        <v>12</v>
      </c>
      <c r="Q6" s="2123" t="s">
        <v>4694</v>
      </c>
      <c r="R6" s="2124"/>
      <c r="S6" s="2124"/>
      <c r="T6" s="2124"/>
      <c r="U6" s="2124"/>
      <c r="V6" s="2125"/>
      <c r="W6" s="2125"/>
      <c r="X6" s="2125"/>
      <c r="Y6" s="2125"/>
      <c r="AM6" s="2493">
        <v>6</v>
      </c>
    </row>
    <row r="7" spans="1:39" ht="3.6" customHeight="1" thickTop="1">
      <c r="A7" s="2107"/>
      <c r="B7" s="2126"/>
      <c r="C7" s="2107"/>
      <c r="D7" s="2107"/>
      <c r="E7" s="2107"/>
      <c r="F7" s="2107"/>
      <c r="G7" s="2107"/>
      <c r="H7" s="2107"/>
      <c r="I7" s="2107"/>
      <c r="J7" s="2107"/>
      <c r="K7" s="2107"/>
      <c r="L7" s="2107"/>
      <c r="M7" s="2109"/>
      <c r="O7" s="2120"/>
      <c r="P7" s="2110"/>
      <c r="Q7" s="2124"/>
      <c r="R7" s="2124"/>
      <c r="S7" s="2124"/>
      <c r="T7" s="2124"/>
      <c r="U7" s="2124"/>
      <c r="V7" s="2125"/>
      <c r="W7" s="2125"/>
      <c r="X7" s="2125"/>
      <c r="Y7" s="2125"/>
      <c r="AM7" s="2492">
        <v>7</v>
      </c>
    </row>
    <row r="8" spans="1:39" s="2107" customFormat="1">
      <c r="A8" s="2130" t="s">
        <v>688</v>
      </c>
      <c r="B8" s="2131" t="s">
        <v>4039</v>
      </c>
      <c r="C8" s="2118"/>
      <c r="G8" s="2129"/>
      <c r="I8" s="2129"/>
      <c r="J8" s="2129"/>
      <c r="K8" s="2129"/>
      <c r="L8" s="2129"/>
      <c r="M8" s="2129"/>
      <c r="N8" s="2129"/>
      <c r="O8" s="2129"/>
      <c r="P8" s="2129"/>
      <c r="Q8" s="2124"/>
      <c r="AM8" s="2493">
        <v>8</v>
      </c>
    </row>
    <row r="9" spans="1:39" ht="8.1" customHeight="1">
      <c r="Q9" s="2132"/>
      <c r="AM9" s="2492">
        <v>9</v>
      </c>
    </row>
    <row r="10" spans="1:39" ht="13.5" customHeight="1">
      <c r="A10" s="3751" t="s">
        <v>4751</v>
      </c>
      <c r="B10" s="3751"/>
      <c r="C10" s="3751"/>
      <c r="D10" s="3751"/>
      <c r="E10" s="3752" t="str">
        <f>IF(OR((C12-A12&gt;0),(D12-A12&gt;0)),"Points Exceed Max!","")</f>
        <v/>
      </c>
      <c r="F10" s="3753" t="s">
        <v>4715</v>
      </c>
      <c r="G10" s="3754"/>
      <c r="H10" s="3754"/>
      <c r="I10" s="3755"/>
      <c r="J10" s="3759" t="s">
        <v>4042</v>
      </c>
      <c r="K10" s="3760"/>
      <c r="L10" s="3760"/>
      <c r="M10" s="3761"/>
      <c r="O10" s="3765" t="s">
        <v>4716</v>
      </c>
      <c r="P10" s="3765"/>
      <c r="Q10" s="2132"/>
      <c r="AM10" s="2492">
        <v>10</v>
      </c>
    </row>
    <row r="11" spans="1:39" ht="13.5" customHeight="1">
      <c r="A11" s="3767" t="s">
        <v>4732</v>
      </c>
      <c r="B11" s="3768"/>
      <c r="C11" s="2133" t="s">
        <v>2880</v>
      </c>
      <c r="D11" s="2134" t="s">
        <v>245</v>
      </c>
      <c r="E11" s="3752"/>
      <c r="F11" s="3756"/>
      <c r="G11" s="3757"/>
      <c r="H11" s="3757"/>
      <c r="I11" s="3758"/>
      <c r="J11" s="3762"/>
      <c r="K11" s="3763"/>
      <c r="L11" s="3763"/>
      <c r="M11" s="3764"/>
      <c r="O11" s="3766"/>
      <c r="P11" s="3766"/>
      <c r="AM11" s="2492">
        <v>11</v>
      </c>
    </row>
    <row r="12" spans="1:39" ht="10.5" customHeight="1">
      <c r="A12" s="3769">
        <v>33</v>
      </c>
      <c r="B12" s="3770"/>
      <c r="C12" s="3788">
        <f>IF($O$12="4%",O160+O169+O190+O206+O238+O265,0)</f>
        <v>0</v>
      </c>
      <c r="D12" s="3790">
        <f>IF($O$12="4%",P160+P169+P190+P206+P238+P265,0)</f>
        <v>0</v>
      </c>
      <c r="E12" s="3752"/>
      <c r="F12" s="3792" t="s">
        <v>4767</v>
      </c>
      <c r="G12" s="3793"/>
      <c r="H12" s="3796" t="s">
        <v>4606</v>
      </c>
      <c r="I12" s="3797"/>
      <c r="J12" s="3800" t="s">
        <v>2938</v>
      </c>
      <c r="K12" s="3800"/>
      <c r="L12" s="3796" t="s">
        <v>4607</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2">
        <v>12</v>
      </c>
    </row>
    <row r="13" spans="1:39" ht="10.5" customHeight="1">
      <c r="A13" s="3771"/>
      <c r="B13" s="3772"/>
      <c r="C13" s="3789"/>
      <c r="D13" s="3791"/>
      <c r="E13" s="3752"/>
      <c r="F13" s="3794"/>
      <c r="G13" s="3795"/>
      <c r="H13" s="3798"/>
      <c r="I13" s="3799"/>
      <c r="J13" s="3801"/>
      <c r="K13" s="3801"/>
      <c r="L13" s="3798"/>
      <c r="M13" s="3799"/>
      <c r="O13" s="3773"/>
      <c r="P13" s="3774"/>
      <c r="AM13" s="2492">
        <v>13</v>
      </c>
    </row>
    <row r="14" spans="1:39" ht="9" customHeight="1">
      <c r="A14" s="2107"/>
      <c r="B14" s="2126"/>
      <c r="C14" s="2107"/>
      <c r="D14" s="1996"/>
      <c r="E14" s="1997"/>
      <c r="F14" s="1997"/>
      <c r="G14" s="2136"/>
      <c r="H14" s="2136"/>
      <c r="I14" s="2136"/>
      <c r="J14" s="2136"/>
      <c r="K14" s="2136"/>
      <c r="L14" s="2136"/>
      <c r="M14" s="2109"/>
      <c r="O14" s="2120"/>
      <c r="P14" s="2110"/>
      <c r="R14" s="2107"/>
      <c r="S14" s="2107"/>
      <c r="T14" s="2107"/>
      <c r="U14" s="2107"/>
      <c r="V14" s="2107"/>
      <c r="W14" s="2107"/>
      <c r="X14" s="2137"/>
      <c r="Y14" s="2137"/>
      <c r="Z14" s="2137"/>
      <c r="AA14" s="2137"/>
      <c r="AB14" s="2137"/>
      <c r="AC14" s="2137"/>
      <c r="AD14" s="2137"/>
      <c r="AE14" s="2137"/>
      <c r="AF14" s="2137"/>
      <c r="AG14" s="2137"/>
      <c r="AH14" s="2137"/>
      <c r="AI14" s="2137"/>
      <c r="AM14" s="2492">
        <v>14</v>
      </c>
    </row>
    <row r="15" spans="1:39" ht="15.95" customHeight="1">
      <c r="A15" s="2107"/>
      <c r="B15" s="2126"/>
      <c r="C15" s="3775" t="s">
        <v>4952</v>
      </c>
      <c r="D15" s="3776"/>
      <c r="E15" s="3776"/>
      <c r="F15" s="3776"/>
      <c r="G15" s="3776"/>
      <c r="H15" s="3776"/>
      <c r="I15" s="3776"/>
      <c r="J15" s="3776"/>
      <c r="K15" s="3776"/>
      <c r="L15" s="3777"/>
      <c r="M15" s="2109"/>
      <c r="O15" s="2120"/>
      <c r="P15" s="2110"/>
      <c r="Q15" s="2124"/>
      <c r="R15" s="2124"/>
      <c r="S15" s="2124"/>
      <c r="T15" s="2124"/>
      <c r="U15" s="2124"/>
      <c r="V15" s="2124"/>
      <c r="W15" s="2124"/>
      <c r="X15" s="2124"/>
      <c r="Y15" s="2124"/>
      <c r="Z15" s="2124"/>
      <c r="AA15" s="2124"/>
      <c r="AB15" s="2124"/>
      <c r="AC15" s="2124"/>
      <c r="AD15" s="2124"/>
      <c r="AE15" s="2124"/>
      <c r="AF15" s="2137"/>
      <c r="AG15" s="2137"/>
      <c r="AH15" s="2137"/>
      <c r="AI15" s="2137"/>
      <c r="AM15" s="2493">
        <v>15</v>
      </c>
    </row>
    <row r="16" spans="1:39" ht="15.95" customHeight="1">
      <c r="A16" s="2107"/>
      <c r="B16" s="2126"/>
      <c r="C16" s="3778" t="s">
        <v>3911</v>
      </c>
      <c r="D16" s="3779"/>
      <c r="E16" s="3779"/>
      <c r="F16" s="3779"/>
      <c r="G16" s="3780"/>
      <c r="H16" s="3781" t="s">
        <v>4953</v>
      </c>
      <c r="I16" s="3782"/>
      <c r="J16" s="3782"/>
      <c r="K16" s="3782"/>
      <c r="L16" s="3783"/>
      <c r="M16" s="2109"/>
      <c r="O16" s="2120"/>
      <c r="P16" s="2110"/>
      <c r="Q16" s="2124"/>
      <c r="R16" s="2124"/>
      <c r="S16" s="2124"/>
      <c r="T16" s="2124"/>
      <c r="U16" s="2124"/>
      <c r="V16" s="2124"/>
      <c r="W16" s="2124"/>
      <c r="X16" s="2124"/>
      <c r="Y16" s="2124"/>
      <c r="Z16" s="2124"/>
      <c r="AA16" s="2124"/>
      <c r="AB16" s="2124"/>
      <c r="AC16" s="2124"/>
      <c r="AD16" s="2124"/>
      <c r="AE16" s="2124"/>
      <c r="AF16" s="2137"/>
      <c r="AG16" s="2137"/>
      <c r="AH16" s="2137"/>
      <c r="AI16" s="2137"/>
      <c r="AM16" s="2493">
        <v>16</v>
      </c>
    </row>
    <row r="17" spans="1:39" ht="15.95" customHeight="1">
      <c r="Q17" s="2124"/>
      <c r="R17" s="2124"/>
      <c r="S17" s="2124"/>
      <c r="T17" s="2124"/>
      <c r="U17" s="2124"/>
      <c r="V17" s="2124"/>
      <c r="W17" s="2124"/>
      <c r="X17" s="2124"/>
      <c r="Y17" s="2124"/>
      <c r="Z17" s="2124"/>
      <c r="AA17" s="2124"/>
      <c r="AB17" s="2124"/>
      <c r="AC17" s="2124"/>
      <c r="AD17" s="2124"/>
      <c r="AE17" s="2124"/>
      <c r="AM17" s="2493">
        <v>17</v>
      </c>
    </row>
    <row r="18" spans="1:39" ht="54" customHeight="1">
      <c r="C18" s="3784" t="s">
        <v>5040</v>
      </c>
      <c r="D18" s="3785"/>
      <c r="E18" s="3785"/>
      <c r="F18" s="3785"/>
      <c r="G18" s="3785"/>
      <c r="H18" s="3785"/>
      <c r="I18" s="3785"/>
      <c r="J18" s="3785"/>
      <c r="K18" s="3785"/>
      <c r="L18" s="3785"/>
      <c r="M18" s="3786"/>
      <c r="Q18" s="2124"/>
      <c r="R18" s="2124"/>
      <c r="S18" s="2124"/>
      <c r="T18" s="2124"/>
      <c r="U18" s="2124"/>
      <c r="V18" s="2124"/>
      <c r="W18" s="2124"/>
      <c r="X18" s="2124"/>
      <c r="Y18" s="2124"/>
      <c r="Z18" s="2124"/>
      <c r="AA18" s="2124"/>
      <c r="AB18" s="2124"/>
      <c r="AC18" s="2124"/>
      <c r="AD18" s="2124"/>
      <c r="AE18" s="2124"/>
      <c r="AM18" s="2492">
        <v>18</v>
      </c>
    </row>
    <row r="19" spans="1:39" ht="15.95" customHeight="1" thickBot="1">
      <c r="Q19" s="2124"/>
      <c r="R19" s="2124"/>
      <c r="S19" s="2124"/>
      <c r="T19" s="2124"/>
      <c r="U19" s="2124"/>
      <c r="V19" s="2124"/>
      <c r="W19" s="2124"/>
      <c r="X19" s="2124"/>
      <c r="Y19" s="2124"/>
      <c r="Z19" s="2124"/>
      <c r="AA19" s="2124"/>
      <c r="AB19" s="2124"/>
      <c r="AC19" s="2124"/>
      <c r="AD19" s="2124"/>
      <c r="AE19" s="2124"/>
      <c r="AM19" s="2492">
        <v>19</v>
      </c>
    </row>
    <row r="20" spans="1:39" ht="15.95" customHeight="1" thickBot="1">
      <c r="A20" s="2130" t="s">
        <v>690</v>
      </c>
      <c r="B20" s="2131" t="s">
        <v>2508</v>
      </c>
      <c r="H20" s="2139"/>
      <c r="J20" s="2109"/>
      <c r="K20" s="2107"/>
      <c r="L20" s="2140" t="s">
        <v>4896</v>
      </c>
      <c r="M20" s="2110">
        <v>6</v>
      </c>
      <c r="N20" s="2109"/>
      <c r="O20" s="2141">
        <f>IF(AND(O21&gt;0,O25&gt;0),"AorB?",MIN($M20,SUM(O21,O25,O27)))</f>
        <v>6</v>
      </c>
      <c r="P20" s="2141">
        <f>IF(AND(P21&gt;0,P25&gt;0),"AorB?",MIN($M20,SUM(P21,P25,P27)))</f>
        <v>0</v>
      </c>
      <c r="Q20" s="2142" t="s">
        <v>415</v>
      </c>
      <c r="T20" s="2138"/>
      <c r="U20" s="2138"/>
      <c r="AM20" s="2493">
        <v>20</v>
      </c>
    </row>
    <row r="21" spans="1:39" s="2107" customFormat="1" ht="15.95" customHeight="1">
      <c r="A21" s="2110" t="s">
        <v>1836</v>
      </c>
      <c r="B21" s="2118" t="s">
        <v>2060</v>
      </c>
      <c r="D21" s="2143"/>
      <c r="E21" s="2143"/>
      <c r="G21" s="2106"/>
      <c r="L21" s="2144"/>
      <c r="M21" s="2109">
        <v>5</v>
      </c>
      <c r="N21" s="2145"/>
      <c r="O21" s="2146">
        <f>IF(OR(AND(O22="Yes",O23="Yes",O24="Yes"),AND(O22="Yes",O24="Yes"),AND(O23="Yes",O24="Yes"),AND(O22="Yes",O23="Yes")),"choose",IF(O22="Yes",$M$22,IF(O23="Yes",$M$23, IF(O24="Yes",$M$24,0))))</f>
        <v>5</v>
      </c>
      <c r="P21" s="2146">
        <f>IF(OR(AND(P22="Yes",P23="Yes",P24="Yes"),AND(P22="Yes",P24="Yes"),AND(P23="Yes",P24="Yes"),AND(P22="Yes",P23="Yes")),"choose",IF(P22="Yes",$M$22,IF(P23="Yes",$M$23, IF(P24="Yes",$M$24,0))))</f>
        <v>0</v>
      </c>
      <c r="Q21" s="2147"/>
      <c r="R21" s="2148"/>
      <c r="T21" s="2138"/>
      <c r="U21" s="2138"/>
      <c r="AM21" s="2492">
        <v>21</v>
      </c>
    </row>
    <row r="22" spans="1:39" s="2107" customFormat="1" ht="15.95" customHeight="1">
      <c r="A22" s="2110"/>
      <c r="B22" s="2149" t="s">
        <v>1839</v>
      </c>
      <c r="C22" s="2139" t="s">
        <v>4954</v>
      </c>
      <c r="D22" s="2143"/>
      <c r="E22" s="2143"/>
      <c r="G22" s="2106"/>
      <c r="L22" s="2144"/>
      <c r="M22" s="2109">
        <v>5</v>
      </c>
      <c r="N22" s="2150"/>
      <c r="O22" s="2003" t="s">
        <v>2641</v>
      </c>
      <c r="P22" s="2151"/>
      <c r="Q22" s="2147"/>
      <c r="R22" s="2148"/>
      <c r="T22" s="2138"/>
      <c r="U22" s="2138"/>
      <c r="AM22" s="2492">
        <v>22</v>
      </c>
    </row>
    <row r="23" spans="1:39" s="2107" customFormat="1" ht="15.95" customHeight="1">
      <c r="A23" s="2110"/>
      <c r="B23" s="2152" t="s">
        <v>1841</v>
      </c>
      <c r="C23" s="2139" t="s">
        <v>4955</v>
      </c>
      <c r="D23" s="2143"/>
      <c r="E23" s="2143"/>
      <c r="G23" s="2106"/>
      <c r="L23" s="2144"/>
      <c r="M23" s="2109">
        <v>3</v>
      </c>
      <c r="N23" s="2150"/>
      <c r="O23" s="2005" t="s">
        <v>5153</v>
      </c>
      <c r="P23" s="2153"/>
      <c r="Q23" s="2147"/>
      <c r="R23" s="2148"/>
      <c r="T23" s="2138"/>
      <c r="U23" s="2138"/>
      <c r="AM23" s="2493">
        <v>23</v>
      </c>
    </row>
    <row r="24" spans="1:39" s="2107" customFormat="1" ht="15.95" customHeight="1">
      <c r="A24" s="2110"/>
      <c r="B24" s="2152" t="s">
        <v>2326</v>
      </c>
      <c r="C24" s="2139" t="s">
        <v>4956</v>
      </c>
      <c r="D24" s="2143"/>
      <c r="E24" s="2143"/>
      <c r="G24" s="2106"/>
      <c r="K24" s="2145"/>
      <c r="M24" s="2109">
        <v>1</v>
      </c>
      <c r="N24" s="2150"/>
      <c r="O24" s="2002" t="s">
        <v>5153</v>
      </c>
      <c r="P24" s="2154"/>
      <c r="R24" s="2106"/>
      <c r="T24" s="2138"/>
      <c r="U24" s="2138"/>
      <c r="AM24" s="2493">
        <v>24</v>
      </c>
    </row>
    <row r="25" spans="1:39" ht="15.95" customHeight="1">
      <c r="A25" s="2110" t="s">
        <v>1838</v>
      </c>
      <c r="B25" s="2118" t="s">
        <v>3829</v>
      </c>
      <c r="D25" s="2107"/>
      <c r="K25" s="2107"/>
      <c r="L25" s="2144" t="str">
        <f>IF(OR($O25=$M25,$O25=0,$O25=""),"","* * Check Score! * *")</f>
        <v/>
      </c>
      <c r="M25" s="2109">
        <v>1</v>
      </c>
      <c r="N25" s="2145"/>
      <c r="O25" s="2155">
        <f>IF(O26="Yes",$M$25,0)</f>
        <v>0</v>
      </c>
      <c r="P25" s="2155">
        <f>IF(P26="Yes",$M$25,0)</f>
        <v>0</v>
      </c>
      <c r="Q25" s="2147" t="str">
        <f>IF(OR($O25=$M25,$O25=0,$O25=""),"","*CHECK!*")</f>
        <v/>
      </c>
      <c r="R25" s="2148"/>
      <c r="T25" s="2138"/>
      <c r="U25" s="2138"/>
      <c r="AM25" s="2493">
        <v>25</v>
      </c>
    </row>
    <row r="26" spans="1:39">
      <c r="A26" s="2156"/>
      <c r="B26" s="3787" t="s">
        <v>4957</v>
      </c>
      <c r="C26" s="3787"/>
      <c r="D26" s="3787"/>
      <c r="E26" s="3787"/>
      <c r="F26" s="3787"/>
      <c r="G26" s="3787"/>
      <c r="H26" s="3787"/>
      <c r="I26" s="3787"/>
      <c r="J26" s="3787"/>
      <c r="K26" s="3787"/>
      <c r="L26" s="3787"/>
      <c r="M26" s="2109"/>
      <c r="N26" s="2145"/>
      <c r="O26" s="2020" t="s">
        <v>5153</v>
      </c>
      <c r="P26" s="2158"/>
      <c r="R26" s="2144"/>
      <c r="T26" s="2138"/>
      <c r="U26" s="2138"/>
      <c r="AM26" s="2493">
        <v>26</v>
      </c>
    </row>
    <row r="27" spans="1:39" ht="15.95" customHeight="1">
      <c r="A27" s="2110" t="s">
        <v>697</v>
      </c>
      <c r="B27" s="2118" t="s">
        <v>4856</v>
      </c>
      <c r="D27" s="2107"/>
      <c r="H27" s="2107"/>
      <c r="K27" s="2107"/>
      <c r="L27" s="2144"/>
      <c r="M27" s="2109">
        <v>1</v>
      </c>
      <c r="N27" s="2145"/>
      <c r="O27" s="2155">
        <f>IF(O21=0,0,IF(OR(O29="Yes",O30="Yes",O32="Yes"),$M$27,0))</f>
        <v>1</v>
      </c>
      <c r="P27" s="2155">
        <f>IF(P21=0,0,IF(OR(P29="Yes",P30="Yes",P32="Yes"),$M$27,0))</f>
        <v>0</v>
      </c>
      <c r="Q27" s="2147" t="str">
        <f>IF(OR($O27=$M27,$O27=0,$O27=""),"","*CHECK!*")</f>
        <v/>
      </c>
      <c r="R27" s="2148"/>
      <c r="T27" s="2138"/>
      <c r="U27" s="2138"/>
      <c r="AM27" s="2492">
        <v>27</v>
      </c>
    </row>
    <row r="28" spans="1:39" ht="14.25">
      <c r="B28" s="3802" t="s">
        <v>4958</v>
      </c>
      <c r="C28" s="3802"/>
      <c r="D28" s="3802"/>
      <c r="E28" s="3802"/>
      <c r="F28" s="3802"/>
      <c r="G28" s="3802"/>
      <c r="H28" s="3802"/>
      <c r="I28" s="3802"/>
      <c r="J28" s="3802"/>
      <c r="K28" s="3802"/>
      <c r="L28" s="3802"/>
      <c r="M28" s="2109"/>
      <c r="N28" s="2109"/>
      <c r="O28" s="2109"/>
      <c r="P28" s="2109"/>
      <c r="R28" s="2144"/>
      <c r="T28" s="2138"/>
      <c r="U28" s="2138"/>
      <c r="AM28" s="2493">
        <v>28</v>
      </c>
    </row>
    <row r="29" spans="1:39" s="2162" customFormat="1">
      <c r="B29" s="2152" t="s">
        <v>1839</v>
      </c>
      <c r="C29" s="2161" t="s">
        <v>4959</v>
      </c>
      <c r="D29" s="2159"/>
      <c r="E29" s="2159"/>
      <c r="F29" s="2159"/>
      <c r="G29" s="2159"/>
      <c r="H29" s="2159"/>
      <c r="I29" s="2159"/>
      <c r="J29" s="2159"/>
      <c r="K29" s="2159"/>
      <c r="L29" s="2159"/>
      <c r="M29" s="2163"/>
      <c r="N29" s="2164"/>
      <c r="O29" s="2095" t="s">
        <v>5153</v>
      </c>
      <c r="P29" s="2165"/>
      <c r="R29" s="2166"/>
      <c r="T29" s="2167"/>
      <c r="U29" s="2167"/>
      <c r="AM29" s="2492">
        <v>29</v>
      </c>
    </row>
    <row r="30" spans="1:39" s="2162" customFormat="1">
      <c r="B30" s="2152" t="s">
        <v>1841</v>
      </c>
      <c r="C30" s="2161" t="s">
        <v>4960</v>
      </c>
      <c r="D30" s="2159"/>
      <c r="E30" s="2159"/>
      <c r="F30" s="2159"/>
      <c r="G30" s="2159"/>
      <c r="H30" s="2159"/>
      <c r="I30" s="2159"/>
      <c r="J30" s="2159"/>
      <c r="K30" s="2159"/>
      <c r="L30" s="2159"/>
      <c r="M30" s="2163"/>
      <c r="N30" s="2164"/>
      <c r="O30" s="2015" t="s">
        <v>5153</v>
      </c>
      <c r="P30" s="2160"/>
      <c r="R30" s="2166"/>
      <c r="T30" s="2167"/>
      <c r="U30" s="2167"/>
      <c r="AM30" s="2492">
        <v>30</v>
      </c>
    </row>
    <row r="31" spans="1:39" s="2162" customFormat="1">
      <c r="B31" s="2161" t="s">
        <v>4961</v>
      </c>
      <c r="D31" s="2159"/>
      <c r="E31" s="2159"/>
      <c r="F31" s="2159"/>
      <c r="G31" s="2159"/>
      <c r="H31" s="2159"/>
      <c r="J31" s="3803" t="s">
        <v>1607</v>
      </c>
      <c r="K31" s="3804"/>
      <c r="L31" s="3804"/>
      <c r="M31" s="3805"/>
      <c r="N31" s="2164"/>
      <c r="O31" s="2164"/>
      <c r="P31" s="2164"/>
      <c r="R31" s="2166"/>
      <c r="T31" s="2167"/>
      <c r="U31" s="2167"/>
      <c r="AM31" s="2492">
        <v>31</v>
      </c>
    </row>
    <row r="32" spans="1:39" s="2162" customFormat="1">
      <c r="B32" s="2152" t="s">
        <v>2326</v>
      </c>
      <c r="C32" s="3802" t="s">
        <v>4962</v>
      </c>
      <c r="D32" s="3802"/>
      <c r="E32" s="3802"/>
      <c r="F32" s="3802"/>
      <c r="G32" s="3802"/>
      <c r="H32" s="3802"/>
      <c r="I32" s="3802"/>
      <c r="J32" s="3802"/>
      <c r="K32" s="3802"/>
      <c r="L32" s="3802"/>
      <c r="M32" s="2163"/>
      <c r="N32" s="2164"/>
      <c r="O32" s="2017" t="s">
        <v>2641</v>
      </c>
      <c r="P32" s="2258"/>
      <c r="R32" s="2166"/>
      <c r="T32" s="2167"/>
      <c r="U32" s="2167"/>
      <c r="AM32" s="2492">
        <v>32</v>
      </c>
    </row>
    <row r="33" spans="1:39" ht="15.95" customHeight="1">
      <c r="A33" s="2107"/>
      <c r="B33" s="2168" t="s">
        <v>1725</v>
      </c>
      <c r="C33" s="2169"/>
      <c r="D33" s="2168"/>
      <c r="E33" s="2170"/>
      <c r="F33" s="2159"/>
      <c r="G33" s="2159"/>
      <c r="H33" s="2159"/>
      <c r="I33" s="2159"/>
      <c r="J33" s="2159"/>
      <c r="K33" s="2159"/>
      <c r="L33" s="2159"/>
      <c r="M33" s="2159"/>
      <c r="N33" s="2171"/>
      <c r="O33" s="2172"/>
      <c r="P33" s="2110"/>
      <c r="AM33" s="2493">
        <v>33</v>
      </c>
    </row>
    <row r="34" spans="1:39" ht="15.95" customHeight="1">
      <c r="A34" s="3806"/>
      <c r="B34" s="3807"/>
      <c r="C34" s="3807"/>
      <c r="D34" s="3807"/>
      <c r="E34" s="3807"/>
      <c r="F34" s="3807"/>
      <c r="G34" s="3807"/>
      <c r="H34" s="3807"/>
      <c r="I34" s="3807"/>
      <c r="J34" s="3807"/>
      <c r="K34" s="3807"/>
      <c r="L34" s="3807"/>
      <c r="M34" s="3807"/>
      <c r="N34" s="3807"/>
      <c r="O34" s="3807"/>
      <c r="P34" s="3808"/>
      <c r="Q34" s="2173"/>
      <c r="AM34" s="2493">
        <v>34</v>
      </c>
    </row>
    <row r="35" spans="1:39" ht="9.75" customHeight="1">
      <c r="A35" s="2107"/>
      <c r="B35" s="2126"/>
      <c r="C35" s="2107"/>
      <c r="D35" s="1996"/>
      <c r="E35" s="1997"/>
      <c r="F35" s="1997"/>
      <c r="G35" s="2136"/>
      <c r="H35" s="2136"/>
      <c r="I35" s="2136"/>
      <c r="J35" s="2136"/>
      <c r="K35" s="2136"/>
      <c r="L35" s="2136"/>
      <c r="M35" s="2109"/>
      <c r="O35" s="2120"/>
      <c r="P35" s="2110"/>
      <c r="R35" s="2107"/>
      <c r="S35" s="2107"/>
      <c r="T35" s="2107"/>
      <c r="U35" s="2107"/>
      <c r="V35" s="2107"/>
      <c r="W35" s="2107"/>
      <c r="X35" s="2137"/>
      <c r="Y35" s="2137"/>
      <c r="Z35" s="2137"/>
      <c r="AA35" s="2137"/>
      <c r="AB35" s="2137"/>
      <c r="AC35" s="2137"/>
      <c r="AD35" s="2137"/>
      <c r="AE35" s="2137"/>
      <c r="AF35" s="2137"/>
      <c r="AG35" s="2137"/>
      <c r="AH35" s="2137"/>
      <c r="AI35" s="2137"/>
      <c r="AM35" s="2493">
        <v>35</v>
      </c>
    </row>
    <row r="36" spans="1:39" ht="9.75" customHeight="1" thickBot="1">
      <c r="T36" s="2138"/>
      <c r="U36" s="2138"/>
      <c r="AM36" s="2493">
        <v>36</v>
      </c>
    </row>
    <row r="37" spans="1:39" s="2107" customFormat="1" ht="15.95" customHeight="1" thickBot="1">
      <c r="A37" s="2130" t="s">
        <v>1661</v>
      </c>
      <c r="B37" s="2131" t="s">
        <v>4474</v>
      </c>
      <c r="D37" s="2131"/>
      <c r="E37" s="2131"/>
      <c r="G37" s="2174"/>
      <c r="L37" s="2175" t="str">
        <f>IF(AND(O44&gt;0,O46&gt;0), "Choose only one option!","")</f>
        <v/>
      </c>
      <c r="M37" s="2110">
        <v>2</v>
      </c>
      <c r="N37" s="2109"/>
      <c r="O37" s="2141">
        <f>IF(O44=$M$44,$M$44,IF(O46=$M$46,$M$46,0))</f>
        <v>2</v>
      </c>
      <c r="P37" s="2141">
        <f>IF(P44=$M$44,$M$44,IF(P46=$M$46,$M$46,0))</f>
        <v>0</v>
      </c>
      <c r="Q37" s="2142" t="s">
        <v>415</v>
      </c>
      <c r="R37" s="2104"/>
      <c r="S37" s="2104"/>
      <c r="T37" s="2104"/>
      <c r="U37" s="2104"/>
      <c r="V37" s="2104"/>
      <c r="AM37" s="2492">
        <v>37</v>
      </c>
    </row>
    <row r="38" spans="1:39" s="2107" customFormat="1" ht="15.95" customHeight="1">
      <c r="A38" s="2130"/>
      <c r="B38" s="2107" t="s">
        <v>4725</v>
      </c>
      <c r="D38" s="2131"/>
      <c r="E38" s="2131"/>
      <c r="J38" s="2176"/>
      <c r="M38" s="2177"/>
      <c r="O38" s="3809" t="s">
        <v>4726</v>
      </c>
      <c r="P38" s="3809" t="s">
        <v>3066</v>
      </c>
      <c r="Q38" s="2142"/>
      <c r="R38" s="2104"/>
      <c r="S38" s="2104"/>
      <c r="T38" s="2104"/>
      <c r="U38" s="2104"/>
      <c r="V38" s="2104"/>
      <c r="W38" s="2106"/>
      <c r="X38" s="2106"/>
      <c r="AM38" s="2493">
        <v>38</v>
      </c>
    </row>
    <row r="39" spans="1:39" s="2107" customFormat="1" ht="15.95" customHeight="1">
      <c r="A39" s="2130"/>
      <c r="C39" s="2107" t="s">
        <v>4587</v>
      </c>
      <c r="G39" s="3812" t="s">
        <v>2843</v>
      </c>
      <c r="H39" s="3813"/>
      <c r="I39" s="3814"/>
      <c r="J39" s="3815"/>
      <c r="K39" s="2354"/>
      <c r="M39" s="2177"/>
      <c r="O39" s="3810"/>
      <c r="P39" s="3810"/>
      <c r="Q39" s="2142"/>
      <c r="V39" s="2104"/>
      <c r="W39" s="2106"/>
      <c r="X39" s="2106"/>
      <c r="AM39" s="2492">
        <v>39</v>
      </c>
    </row>
    <row r="40" spans="1:39" s="2107" customFormat="1" ht="15.95" customHeight="1">
      <c r="A40" s="2130"/>
      <c r="C40" s="2107" t="s">
        <v>4963</v>
      </c>
      <c r="G40" s="3816" t="s">
        <v>5157</v>
      </c>
      <c r="H40" s="3817"/>
      <c r="I40" s="2178"/>
      <c r="J40" s="2179"/>
      <c r="M40" s="2177"/>
      <c r="O40" s="3810"/>
      <c r="P40" s="3810"/>
      <c r="Q40" s="2142"/>
      <c r="V40" s="2104"/>
      <c r="W40" s="2106"/>
      <c r="X40" s="2106"/>
      <c r="AM40" s="2492">
        <v>40</v>
      </c>
    </row>
    <row r="41" spans="1:39" s="2107" customFormat="1" ht="15.95" customHeight="1">
      <c r="A41" s="2130"/>
      <c r="C41" s="2107" t="s">
        <v>4586</v>
      </c>
      <c r="G41" s="3818" t="s">
        <v>2843</v>
      </c>
      <c r="H41" s="3819"/>
      <c r="I41" s="2354"/>
      <c r="M41" s="2177"/>
      <c r="O41" s="3811"/>
      <c r="P41" s="3811"/>
      <c r="Q41" s="2142"/>
      <c r="V41" s="2104"/>
      <c r="W41" s="2106"/>
      <c r="X41" s="2106"/>
      <c r="AM41" s="2492">
        <v>41</v>
      </c>
    </row>
    <row r="42" spans="1:39" ht="28.5" customHeight="1" thickBot="1">
      <c r="A42" s="2181"/>
      <c r="B42" s="2145"/>
      <c r="C42" s="3787" t="s">
        <v>4857</v>
      </c>
      <c r="D42" s="3787"/>
      <c r="E42" s="3787"/>
      <c r="F42" s="3787"/>
      <c r="G42" s="3787"/>
      <c r="H42" s="3787"/>
      <c r="I42" s="3787"/>
      <c r="J42" s="3787"/>
      <c r="K42" s="3787"/>
      <c r="L42" s="3787"/>
      <c r="M42" s="2107"/>
      <c r="N42" s="2145"/>
      <c r="O42" s="2393" t="s">
        <v>2641</v>
      </c>
      <c r="P42" s="2394"/>
      <c r="Q42" s="2142"/>
      <c r="R42" s="2180"/>
      <c r="S42" s="2180"/>
      <c r="T42" s="2180"/>
      <c r="U42" s="2180"/>
      <c r="AM42" s="2492">
        <v>42</v>
      </c>
    </row>
    <row r="43" spans="1:39" ht="2.25" hidden="1" customHeight="1">
      <c r="A43" s="2107"/>
      <c r="D43" s="2107"/>
      <c r="E43" s="2107"/>
      <c r="F43" s="2110"/>
      <c r="G43" s="2110"/>
      <c r="H43" s="2110"/>
      <c r="I43" s="2110"/>
      <c r="J43" s="2139"/>
      <c r="K43" s="2139"/>
      <c r="L43" s="2139"/>
      <c r="M43" s="2109"/>
      <c r="N43" s="2110"/>
      <c r="P43" s="2120"/>
      <c r="AM43" s="2493">
        <v>43</v>
      </c>
    </row>
    <row r="44" spans="1:39" ht="15.95" customHeight="1" thickBot="1">
      <c r="A44" s="2110" t="s">
        <v>1836</v>
      </c>
      <c r="B44" s="2182" t="s">
        <v>4475</v>
      </c>
      <c r="D44" s="2161"/>
      <c r="E44" s="2161"/>
      <c r="H44" s="2161"/>
      <c r="L44" s="2161"/>
      <c r="M44" s="2127">
        <v>2</v>
      </c>
      <c r="N44" s="2145"/>
      <c r="O44" s="2141">
        <f>IF(O45="Yes",$M44,0)</f>
        <v>2</v>
      </c>
      <c r="P44" s="2141">
        <f>IF(P45="Yes",$M44,0)</f>
        <v>0</v>
      </c>
      <c r="Q44" s="2183" t="str">
        <f>IF(OR(O44=0,O44="",O44=$M44),"","Check!")</f>
        <v/>
      </c>
      <c r="R44" s="2148"/>
      <c r="S44" s="2104"/>
      <c r="T44" s="2104"/>
      <c r="U44" s="2104"/>
      <c r="V44" s="2104"/>
      <c r="AM44" s="2493">
        <v>44</v>
      </c>
    </row>
    <row r="45" spans="1:39" s="2162" customFormat="1" ht="15.75" thickBot="1">
      <c r="A45" s="2184"/>
      <c r="B45" s="2161" t="s">
        <v>4964</v>
      </c>
      <c r="C45" s="2264"/>
      <c r="D45" s="2264"/>
      <c r="E45" s="2264"/>
      <c r="F45" s="2264"/>
      <c r="G45" s="2264"/>
      <c r="H45" s="2264"/>
      <c r="I45" s="2264"/>
      <c r="J45" s="2264"/>
      <c r="K45" s="2264"/>
      <c r="L45" s="2264"/>
      <c r="M45" s="2264"/>
      <c r="N45" s="2150"/>
      <c r="O45" s="2018" t="s">
        <v>2641</v>
      </c>
      <c r="P45" s="2185"/>
      <c r="Q45" s="2186"/>
      <c r="R45" s="2187"/>
      <c r="S45" s="2187"/>
      <c r="T45" s="2187"/>
      <c r="U45" s="2187"/>
      <c r="AM45" s="2493">
        <v>45</v>
      </c>
    </row>
    <row r="46" spans="1:39" ht="15.95" customHeight="1" thickBot="1">
      <c r="A46" s="2110" t="s">
        <v>1838</v>
      </c>
      <c r="B46" s="2182" t="s">
        <v>4476</v>
      </c>
      <c r="D46" s="2161"/>
      <c r="L46" s="2161"/>
      <c r="M46" s="2127">
        <v>2</v>
      </c>
      <c r="N46" s="2145"/>
      <c r="O46" s="2141">
        <f>IF(AND(O47="Yes",O48="Yes"),$M46,0)</f>
        <v>0</v>
      </c>
      <c r="P46" s="2141">
        <f>IF(AND(P47="Yes",P48="Yes"),$M46,0)</f>
        <v>0</v>
      </c>
      <c r="Q46" s="2183" t="str">
        <f>IF(OR(O46=0,O46="",O46=$M46),"","Check!")</f>
        <v/>
      </c>
      <c r="R46" s="2148"/>
      <c r="S46" s="2104"/>
      <c r="T46" s="2104"/>
      <c r="U46" s="2104"/>
      <c r="V46" s="2104"/>
      <c r="AM46" s="2493">
        <v>46</v>
      </c>
    </row>
    <row r="47" spans="1:39" ht="15.95" customHeight="1">
      <c r="A47" s="2110"/>
      <c r="B47" s="2107" t="s">
        <v>4965</v>
      </c>
      <c r="D47" s="2161"/>
      <c r="L47" s="2161"/>
      <c r="M47" s="2127"/>
      <c r="N47" s="2145"/>
      <c r="O47" s="2018" t="s">
        <v>5153</v>
      </c>
      <c r="P47" s="2185"/>
      <c r="Q47" s="2183"/>
      <c r="R47" s="2148"/>
      <c r="S47" s="2104"/>
      <c r="T47" s="2104"/>
      <c r="U47" s="2104"/>
      <c r="V47" s="2104"/>
      <c r="AM47" s="2492">
        <v>47</v>
      </c>
    </row>
    <row r="48" spans="1:39" ht="28.5" customHeight="1">
      <c r="A48" s="2110"/>
      <c r="B48" s="3802" t="s">
        <v>4858</v>
      </c>
      <c r="C48" s="3802"/>
      <c r="D48" s="3802"/>
      <c r="E48" s="3802"/>
      <c r="F48" s="3802"/>
      <c r="G48" s="3802"/>
      <c r="H48" s="3802"/>
      <c r="I48" s="3802"/>
      <c r="J48" s="3802"/>
      <c r="K48" s="3802"/>
      <c r="L48" s="3802"/>
      <c r="M48" s="3802"/>
      <c r="N48" s="2145"/>
      <c r="O48" s="2101" t="s">
        <v>5153</v>
      </c>
      <c r="P48" s="2188"/>
      <c r="Q48" s="2183"/>
      <c r="R48" s="2148"/>
      <c r="S48" s="2104"/>
      <c r="T48" s="2104"/>
      <c r="U48" s="2104"/>
      <c r="V48" s="2104"/>
      <c r="AM48" s="2493">
        <v>48</v>
      </c>
    </row>
    <row r="49" spans="1:39" ht="15.95" customHeight="1">
      <c r="A49" s="2107"/>
      <c r="B49" s="2129" t="s">
        <v>4847</v>
      </c>
      <c r="C49" s="2107"/>
      <c r="D49" s="2107"/>
      <c r="E49" s="2107"/>
      <c r="F49" s="2107"/>
      <c r="G49" s="2107"/>
      <c r="H49" s="2107"/>
      <c r="I49" s="2107"/>
      <c r="J49" s="2107"/>
      <c r="K49" s="2107"/>
      <c r="M49" s="2109"/>
      <c r="O49" s="2120"/>
      <c r="R49" s="2104"/>
      <c r="S49" s="2104"/>
      <c r="T49" s="2104"/>
      <c r="U49" s="2104"/>
      <c r="V49" s="2104"/>
      <c r="AM49" s="2492">
        <v>49</v>
      </c>
    </row>
    <row r="50" spans="1:39" ht="15.95" customHeight="1">
      <c r="A50" s="3830" t="s">
        <v>5159</v>
      </c>
      <c r="B50" s="3831"/>
      <c r="C50" s="3831"/>
      <c r="D50" s="3831"/>
      <c r="E50" s="3831"/>
      <c r="F50" s="3831"/>
      <c r="G50" s="3831"/>
      <c r="H50" s="3831"/>
      <c r="I50" s="3831"/>
      <c r="J50" s="3831"/>
      <c r="K50" s="3831"/>
      <c r="L50" s="3831"/>
      <c r="M50" s="3831"/>
      <c r="N50" s="3831"/>
      <c r="O50" s="3831"/>
      <c r="P50" s="3832"/>
      <c r="Q50" s="2190"/>
      <c r="AM50" s="2492">
        <v>50</v>
      </c>
    </row>
    <row r="51" spans="1:39" ht="15.95" customHeight="1">
      <c r="A51" s="2107"/>
      <c r="B51" s="2168" t="s">
        <v>1725</v>
      </c>
      <c r="C51" s="2107"/>
      <c r="D51" s="2168"/>
      <c r="E51" s="2159"/>
      <c r="F51" s="2159"/>
      <c r="G51" s="2159"/>
      <c r="H51" s="2159"/>
      <c r="I51" s="2159"/>
      <c r="J51" s="2159"/>
      <c r="K51" s="2159"/>
      <c r="L51" s="2159"/>
      <c r="M51" s="2159"/>
      <c r="N51" s="2171"/>
      <c r="O51" s="2172"/>
      <c r="P51" s="2110"/>
      <c r="AM51" s="2492">
        <v>51</v>
      </c>
    </row>
    <row r="52" spans="1:39" ht="15.95" customHeight="1">
      <c r="A52" s="3806"/>
      <c r="B52" s="3807"/>
      <c r="C52" s="3807"/>
      <c r="D52" s="3807"/>
      <c r="E52" s="3807"/>
      <c r="F52" s="3807"/>
      <c r="G52" s="3807"/>
      <c r="H52" s="3807"/>
      <c r="I52" s="3807"/>
      <c r="J52" s="3807"/>
      <c r="K52" s="3807"/>
      <c r="L52" s="3807"/>
      <c r="M52" s="3807"/>
      <c r="N52" s="3807"/>
      <c r="O52" s="3807"/>
      <c r="P52" s="3808"/>
      <c r="Q52" s="2173"/>
      <c r="AM52" s="2492">
        <v>52</v>
      </c>
    </row>
    <row r="53" spans="1:39" ht="9.75" customHeight="1">
      <c r="A53" s="2107"/>
      <c r="B53" s="2126"/>
      <c r="C53" s="2107"/>
      <c r="D53" s="1996"/>
      <c r="E53" s="1997"/>
      <c r="F53" s="1997"/>
      <c r="G53" s="2136"/>
      <c r="H53" s="2136"/>
      <c r="I53" s="2136"/>
      <c r="J53" s="2136"/>
      <c r="K53" s="2136"/>
      <c r="L53" s="2136"/>
      <c r="M53" s="2109"/>
      <c r="O53" s="2120"/>
      <c r="P53" s="2110"/>
      <c r="R53" s="2107"/>
      <c r="S53" s="2107"/>
      <c r="T53" s="2107"/>
      <c r="U53" s="2107"/>
      <c r="V53" s="2107"/>
      <c r="W53" s="2107"/>
      <c r="X53" s="2137"/>
      <c r="Y53" s="2137"/>
      <c r="Z53" s="2137"/>
      <c r="AA53" s="2137"/>
      <c r="AB53" s="2137"/>
      <c r="AC53" s="2137"/>
      <c r="AD53" s="2137"/>
      <c r="AE53" s="2137"/>
      <c r="AF53" s="2137"/>
      <c r="AG53" s="2137"/>
      <c r="AH53" s="2137"/>
      <c r="AI53" s="2137"/>
      <c r="AM53" s="2492">
        <v>53</v>
      </c>
    </row>
    <row r="54" spans="1:39" ht="9.75" customHeight="1" thickBot="1">
      <c r="T54" s="2138"/>
      <c r="U54" s="2138"/>
      <c r="AM54" s="2492">
        <v>54</v>
      </c>
    </row>
    <row r="55" spans="1:39" ht="15.95" customHeight="1" thickBot="1">
      <c r="A55" s="2130" t="s">
        <v>1663</v>
      </c>
      <c r="B55" s="2131" t="s">
        <v>3260</v>
      </c>
      <c r="D55" s="2191"/>
      <c r="E55" s="2191"/>
      <c r="F55" s="2107"/>
      <c r="G55" s="2107"/>
      <c r="H55" s="2107"/>
      <c r="J55" s="2192"/>
      <c r="K55" s="2177"/>
      <c r="L55" s="2140" t="s">
        <v>4896</v>
      </c>
      <c r="M55" s="2120">
        <v>5</v>
      </c>
      <c r="N55" s="2109"/>
      <c r="O55" s="2193">
        <f>O56+O78</f>
        <v>2</v>
      </c>
      <c r="P55" s="2193">
        <f>P56+P78</f>
        <v>0</v>
      </c>
      <c r="Q55" s="2142" t="s">
        <v>415</v>
      </c>
      <c r="AM55" s="2493">
        <v>55</v>
      </c>
    </row>
    <row r="56" spans="1:39" ht="15.95" customHeight="1" thickBot="1">
      <c r="A56" s="2194" t="s">
        <v>1836</v>
      </c>
      <c r="B56" s="2118" t="s">
        <v>3261</v>
      </c>
      <c r="L56" s="2144" t="str">
        <f>IF(O56&lt;=M56,"","* * Check Score! * *")</f>
        <v/>
      </c>
      <c r="M56" s="2109">
        <v>4</v>
      </c>
      <c r="N56" s="2145"/>
      <c r="O56" s="2021">
        <v>2</v>
      </c>
      <c r="P56" s="2195"/>
      <c r="Q56" s="2147" t="str">
        <f>IF(O56&lt;=M56,"","*CHECK!*")</f>
        <v/>
      </c>
      <c r="R56" s="2123"/>
      <c r="S56" s="2123"/>
      <c r="T56" s="2105"/>
      <c r="AM56" s="2493">
        <v>56</v>
      </c>
    </row>
    <row r="57" spans="1:39" ht="30.95" customHeight="1">
      <c r="A57" s="2194"/>
      <c r="B57" s="3833" t="s">
        <v>4861</v>
      </c>
      <c r="C57" s="3833"/>
      <c r="D57" s="3833"/>
      <c r="E57" s="3833"/>
      <c r="F57" s="3833"/>
      <c r="G57" s="3833"/>
      <c r="H57" s="3833"/>
      <c r="I57" s="3833"/>
      <c r="J57" s="3833"/>
      <c r="K57" s="3833"/>
      <c r="L57" s="3833"/>
      <c r="N57" s="2106"/>
      <c r="O57" s="2022" t="s">
        <v>2641</v>
      </c>
      <c r="P57" s="2196"/>
      <c r="R57" s="2123"/>
      <c r="S57" s="2123"/>
      <c r="T57" s="2105"/>
      <c r="AM57" s="2492">
        <v>57</v>
      </c>
    </row>
    <row r="58" spans="1:39" ht="15.95" customHeight="1">
      <c r="A58" s="2194"/>
      <c r="B58" s="2197"/>
      <c r="C58" s="2162"/>
      <c r="D58" s="2162"/>
      <c r="E58" s="2162"/>
      <c r="F58" s="2162"/>
      <c r="G58" s="2162"/>
      <c r="H58" s="2162"/>
      <c r="I58" s="2162"/>
      <c r="J58" s="3834" t="s">
        <v>1843</v>
      </c>
      <c r="K58" s="3834"/>
      <c r="M58" s="3834" t="s">
        <v>1843</v>
      </c>
      <c r="N58" s="3834"/>
      <c r="O58" s="3834"/>
      <c r="P58" s="3834"/>
      <c r="R58" s="2198"/>
      <c r="S58" s="2198"/>
      <c r="T58" s="2105"/>
      <c r="AM58" s="2492">
        <v>58</v>
      </c>
    </row>
    <row r="59" spans="1:39" ht="14.1" customHeight="1">
      <c r="A59" s="2145"/>
      <c r="B59" s="2149" t="s">
        <v>1839</v>
      </c>
      <c r="C59" s="2107" t="s">
        <v>1386</v>
      </c>
      <c r="I59" s="2145"/>
      <c r="J59" s="3820"/>
      <c r="K59" s="3821"/>
      <c r="L59" s="2145"/>
      <c r="M59" s="3822"/>
      <c r="N59" s="3823"/>
      <c r="O59" s="3823"/>
      <c r="P59" s="3824"/>
      <c r="R59" s="2144"/>
      <c r="AM59" s="2493">
        <v>59</v>
      </c>
    </row>
    <row r="60" spans="1:39" ht="14.1" customHeight="1">
      <c r="A60" s="2140"/>
      <c r="B60" s="2152" t="s">
        <v>1841</v>
      </c>
      <c r="C60" s="2107" t="s">
        <v>3071</v>
      </c>
      <c r="I60" s="2164"/>
      <c r="J60" s="3825"/>
      <c r="K60" s="3826"/>
      <c r="L60" s="2164"/>
      <c r="M60" s="3827"/>
      <c r="N60" s="3828"/>
      <c r="O60" s="3828"/>
      <c r="P60" s="3829"/>
      <c r="AM60" s="2493">
        <v>60</v>
      </c>
    </row>
    <row r="61" spans="1:39" ht="14.1" customHeight="1">
      <c r="B61" s="2149" t="s">
        <v>2326</v>
      </c>
      <c r="C61" s="2107" t="s">
        <v>3830</v>
      </c>
      <c r="I61" s="2145"/>
      <c r="J61" s="3825"/>
      <c r="K61" s="3826"/>
      <c r="L61" s="2145"/>
      <c r="M61" s="3827"/>
      <c r="N61" s="3828"/>
      <c r="O61" s="3828"/>
      <c r="P61" s="3829"/>
      <c r="AM61" s="2493">
        <v>61</v>
      </c>
    </row>
    <row r="62" spans="1:39" ht="14.1" customHeight="1">
      <c r="B62" s="2149" t="s">
        <v>1149</v>
      </c>
      <c r="C62" s="2107" t="s">
        <v>4859</v>
      </c>
      <c r="I62" s="2145"/>
      <c r="J62" s="3825"/>
      <c r="K62" s="3826"/>
      <c r="L62" s="2145"/>
      <c r="M62" s="3827"/>
      <c r="N62" s="3828"/>
      <c r="O62" s="3828"/>
      <c r="P62" s="3829"/>
      <c r="AM62" s="2493">
        <v>62</v>
      </c>
    </row>
    <row r="63" spans="1:39" ht="14.1" customHeight="1">
      <c r="A63" s="2140"/>
      <c r="B63" s="2152" t="s">
        <v>1150</v>
      </c>
      <c r="C63" s="2107" t="s">
        <v>2987</v>
      </c>
      <c r="I63" s="2145"/>
      <c r="J63" s="3825"/>
      <c r="K63" s="3826"/>
      <c r="L63" s="2145"/>
      <c r="M63" s="3827"/>
      <c r="N63" s="3828"/>
      <c r="O63" s="3828"/>
      <c r="P63" s="3829"/>
      <c r="AM63" s="2492">
        <v>63</v>
      </c>
    </row>
    <row r="64" spans="1:39" ht="14.1" customHeight="1">
      <c r="A64" s="2145"/>
      <c r="B64" s="2149" t="s">
        <v>1737</v>
      </c>
      <c r="C64" s="2107" t="s">
        <v>2466</v>
      </c>
      <c r="I64" s="2164"/>
      <c r="J64" s="3825"/>
      <c r="K64" s="3826"/>
      <c r="L64" s="2164"/>
      <c r="M64" s="3827"/>
      <c r="N64" s="3828"/>
      <c r="O64" s="3828"/>
      <c r="P64" s="3829"/>
      <c r="AM64" s="2493">
        <v>64</v>
      </c>
    </row>
    <row r="65" spans="1:39" ht="14.1" customHeight="1">
      <c r="B65" s="2149" t="s">
        <v>472</v>
      </c>
      <c r="C65" s="2107" t="s">
        <v>1385</v>
      </c>
      <c r="I65" s="2145"/>
      <c r="J65" s="3825"/>
      <c r="K65" s="3826"/>
      <c r="L65" s="2145"/>
      <c r="M65" s="3827"/>
      <c r="N65" s="3828"/>
      <c r="O65" s="3828"/>
      <c r="P65" s="3829"/>
      <c r="AM65" s="2492">
        <v>65</v>
      </c>
    </row>
    <row r="66" spans="1:39" ht="14.1" customHeight="1">
      <c r="B66" s="2149" t="s">
        <v>473</v>
      </c>
      <c r="C66" s="2107" t="s">
        <v>4131</v>
      </c>
      <c r="I66" s="2145"/>
      <c r="J66" s="3825"/>
      <c r="K66" s="3826"/>
      <c r="L66" s="2145"/>
      <c r="M66" s="3827"/>
      <c r="N66" s="3828"/>
      <c r="O66" s="3828"/>
      <c r="P66" s="3829"/>
      <c r="R66" s="2144"/>
      <c r="AM66" s="2492">
        <v>66</v>
      </c>
    </row>
    <row r="67" spans="1:39" ht="14.1" customHeight="1">
      <c r="A67" s="2140"/>
      <c r="B67" s="2149" t="s">
        <v>3766</v>
      </c>
      <c r="C67" s="2107" t="s">
        <v>3070</v>
      </c>
      <c r="I67" s="2145"/>
      <c r="J67" s="3825"/>
      <c r="K67" s="3826"/>
      <c r="L67" s="2145"/>
      <c r="M67" s="3827"/>
      <c r="N67" s="3828"/>
      <c r="O67" s="3828"/>
      <c r="P67" s="3829"/>
      <c r="R67" s="2144"/>
      <c r="AM67" s="2492">
        <v>67</v>
      </c>
    </row>
    <row r="68" spans="1:39" ht="14.1" customHeight="1">
      <c r="B68" s="2149" t="s">
        <v>4706</v>
      </c>
      <c r="C68" s="2107" t="s">
        <v>4705</v>
      </c>
      <c r="I68" s="2145"/>
      <c r="J68" s="3825"/>
      <c r="K68" s="3826"/>
      <c r="L68" s="2145"/>
      <c r="M68" s="3827"/>
      <c r="N68" s="3828"/>
      <c r="O68" s="3828"/>
      <c r="P68" s="3829"/>
      <c r="R68" s="2144"/>
      <c r="AM68" s="2492">
        <v>68</v>
      </c>
    </row>
    <row r="69" spans="1:39" ht="14.1" customHeight="1">
      <c r="B69" s="2149" t="s">
        <v>4707</v>
      </c>
      <c r="C69" s="2107" t="s">
        <v>4727</v>
      </c>
      <c r="I69" s="2145"/>
      <c r="J69" s="3825"/>
      <c r="K69" s="3826"/>
      <c r="L69" s="2145"/>
      <c r="M69" s="3827"/>
      <c r="N69" s="3828"/>
      <c r="O69" s="3828"/>
      <c r="P69" s="3829"/>
      <c r="R69" s="2144"/>
      <c r="AM69" s="2492">
        <v>69</v>
      </c>
    </row>
    <row r="70" spans="1:39" ht="14.1" customHeight="1" thickBot="1">
      <c r="B70" s="2149" t="s">
        <v>4860</v>
      </c>
      <c r="C70" s="2107" t="s">
        <v>4728</v>
      </c>
      <c r="I70" s="2145"/>
      <c r="J70" s="3825">
        <v>1594810</v>
      </c>
      <c r="K70" s="3826"/>
      <c r="L70" s="2145"/>
      <c r="M70" s="3845"/>
      <c r="N70" s="3846"/>
      <c r="O70" s="3846"/>
      <c r="P70" s="3847"/>
      <c r="R70" s="2144"/>
      <c r="AM70" s="2492">
        <v>70</v>
      </c>
    </row>
    <row r="71" spans="1:39" ht="15.95" customHeight="1" thickBot="1">
      <c r="B71" s="2107"/>
      <c r="I71" s="2126" t="s">
        <v>2406</v>
      </c>
      <c r="J71" s="3835">
        <f>SUM(J59:K70)</f>
        <v>1594810</v>
      </c>
      <c r="K71" s="3836"/>
      <c r="M71" s="3835">
        <f>SUM($M59:$M70)</f>
        <v>0</v>
      </c>
      <c r="N71" s="3837"/>
      <c r="O71" s="3837"/>
      <c r="P71" s="3836"/>
      <c r="U71" s="3751" t="s">
        <v>4733</v>
      </c>
      <c r="V71" s="3751"/>
      <c r="W71" s="3751"/>
      <c r="X71" s="3751"/>
      <c r="Y71" s="3751"/>
      <c r="Z71" s="3751"/>
      <c r="AM71" s="2493">
        <v>71</v>
      </c>
    </row>
    <row r="72" spans="1:39" ht="15.95" customHeight="1">
      <c r="M72" s="2123"/>
      <c r="N72" s="2123"/>
      <c r="O72" s="2106"/>
      <c r="P72" s="2123"/>
      <c r="U72" s="2199" t="s">
        <v>4731</v>
      </c>
      <c r="V72" s="2199" t="s">
        <v>4732</v>
      </c>
      <c r="W72" s="2199" t="s">
        <v>4731</v>
      </c>
      <c r="X72" s="2199" t="s">
        <v>4732</v>
      </c>
      <c r="Y72" s="2199" t="s">
        <v>4731</v>
      </c>
      <c r="Z72" s="2199" t="s">
        <v>4732</v>
      </c>
      <c r="AM72" s="2493">
        <v>72</v>
      </c>
    </row>
    <row r="73" spans="1:39" ht="15.95" customHeight="1">
      <c r="A73" s="2107"/>
      <c r="B73" s="2149"/>
      <c r="C73" s="2191" t="s">
        <v>2405</v>
      </c>
      <c r="D73" s="2125"/>
      <c r="E73" s="2125"/>
      <c r="I73" s="2145" t="s">
        <v>4134</v>
      </c>
      <c r="J73" s="3838">
        <f>'Part V-Revenues &amp; Expenses'!$P$67</f>
        <v>80</v>
      </c>
      <c r="K73" s="3839"/>
      <c r="L73" s="2123"/>
      <c r="M73" s="2123"/>
      <c r="N73" s="2123"/>
      <c r="O73" s="2106"/>
      <c r="P73" s="2123"/>
      <c r="R73" s="2200" t="s">
        <v>4729</v>
      </c>
      <c r="U73" s="2201">
        <v>500000</v>
      </c>
      <c r="V73" s="2202">
        <v>999999.99</v>
      </c>
      <c r="W73" s="2201">
        <v>1000000</v>
      </c>
      <c r="X73" s="2202">
        <v>1999999.99</v>
      </c>
      <c r="Y73" s="2201">
        <v>2000000</v>
      </c>
      <c r="Z73" s="2203"/>
      <c r="AM73" s="2493">
        <v>73</v>
      </c>
    </row>
    <row r="74" spans="1:39" ht="15.95" customHeight="1">
      <c r="C74" s="2125"/>
      <c r="D74" s="2125"/>
      <c r="E74" s="2125"/>
      <c r="I74" s="2204" t="s">
        <v>4135</v>
      </c>
      <c r="J74" s="3840">
        <f>IF(J73=0,0,J71/J73)</f>
        <v>19935.125</v>
      </c>
      <c r="K74" s="3841"/>
      <c r="M74" s="3842">
        <f>IF(J73=0,0,M71/J73)</f>
        <v>0</v>
      </c>
      <c r="N74" s="3843"/>
      <c r="O74" s="3843"/>
      <c r="P74" s="3844"/>
      <c r="R74" s="2200" t="s">
        <v>4730</v>
      </c>
      <c r="U74" s="2205">
        <v>10000</v>
      </c>
      <c r="V74" s="2206">
        <v>19999.990000000002</v>
      </c>
      <c r="W74" s="2205">
        <v>20000</v>
      </c>
      <c r="X74" s="2206">
        <v>29999.99</v>
      </c>
      <c r="Y74" s="2205">
        <v>30000</v>
      </c>
      <c r="Z74" s="2207"/>
      <c r="AM74" s="2492">
        <v>74</v>
      </c>
    </row>
    <row r="75" spans="1:39" ht="15.95" customHeight="1">
      <c r="C75" s="2125"/>
      <c r="D75" s="2125"/>
      <c r="E75" s="2125"/>
      <c r="I75" s="2140" t="s">
        <v>4708</v>
      </c>
      <c r="J75" s="3838">
        <f>IF(AND(J62+J67&gt;0,J71&gt;=$Y$73),$Y$75, IF(AND(J62+J67=0,J71&gt;=$Y$73),$Y$76, IF(AND(J62+J67&gt;0,J71&gt;=$W$73),$W$75,IF(AND(J62+J67=0,J71&gt;=$W$73),$W$76, IF(AND(J62+J67&gt;0,J71&gt;=$U$73),$U$75,IF(AND(J62+J67=0,J71&gt;=$U$73),$U$76,0))))))</f>
        <v>2</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0" t="s">
        <v>4862</v>
      </c>
      <c r="U75" s="3849">
        <v>2</v>
      </c>
      <c r="V75" s="3850"/>
      <c r="W75" s="3849">
        <v>3</v>
      </c>
      <c r="X75" s="3850"/>
      <c r="Y75" s="3849">
        <v>4</v>
      </c>
      <c r="Z75" s="3850"/>
      <c r="AM75" s="2492">
        <v>75</v>
      </c>
    </row>
    <row r="76" spans="1:39" ht="15.95" customHeight="1">
      <c r="C76" s="2125"/>
      <c r="D76" s="2125"/>
      <c r="E76" s="2125"/>
      <c r="I76" s="2140" t="s">
        <v>4136</v>
      </c>
      <c r="J76" s="3851">
        <f>IF(AND(J62+J67&gt;0,$J$74&gt;=$Y$74),$Y$75,IF(AND(J62+J67=0,$J$74&gt;=$Y$74),$Y$76,IF(AND(J62+J67&gt;0,$J$74&gt;=$W$74),$W$75,IF(AND(J62+J67=0,$J$74&gt;=$W$74),$W$76,IF(AND(J62+J67&gt;0,$J$74&gt;=$U$74),$U$75,IF(AND(J62+J67=0,$J$74&gt;=$U$74),$U$76,0))))))</f>
        <v>1</v>
      </c>
      <c r="K76" s="3852"/>
      <c r="L76" s="2123"/>
      <c r="M76" s="3851">
        <f>IF(AND(M62+M67&gt;0,$M$74&gt;=$Y$74),$Y$75,IF(AND(M62+M67=0,$M$74&gt;=$Y$74),$Y$76,IF(AND(M62+M67&gt;0,$M$74&gt;=$W$74),$W$75,IF(AND(M62+M67=0,$M$74&gt;=$W$74),$W$76,IF(AND(M62+M67&gt;0,$M$74&gt;=$U$74),$U$75,IF(AND(M62+M67=0,$M$74&gt;=$U$74),$U$76,0))))))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0" t="s">
        <v>4863</v>
      </c>
      <c r="U76" s="3849">
        <v>1</v>
      </c>
      <c r="V76" s="3850"/>
      <c r="W76" s="3849">
        <v>2</v>
      </c>
      <c r="X76" s="3850"/>
      <c r="Y76" s="3849">
        <v>3</v>
      </c>
      <c r="Z76" s="3850"/>
      <c r="AM76" s="2493">
        <v>76</v>
      </c>
    </row>
    <row r="77" spans="1:39" ht="15.95" customHeight="1" thickBot="1">
      <c r="AM77" s="2492">
        <v>77</v>
      </c>
    </row>
    <row r="78" spans="1:39" ht="15.95" customHeight="1" thickBot="1">
      <c r="A78" s="2110" t="s">
        <v>1838</v>
      </c>
      <c r="B78" s="2118" t="s">
        <v>4864</v>
      </c>
      <c r="D78" s="2107"/>
      <c r="F78" s="2208" t="s">
        <v>4868</v>
      </c>
      <c r="K78" s="2107"/>
      <c r="L78" s="2209" t="s">
        <v>4867</v>
      </c>
      <c r="M78" s="2109">
        <v>1</v>
      </c>
      <c r="N78" s="2145"/>
      <c r="O78" s="2210">
        <f>IF(AND(O79&gt;0,O80&gt;0),"1or2?",MIN($M78,SUM(O79,O80)))</f>
        <v>0</v>
      </c>
      <c r="P78" s="2210">
        <f>IF(P79="Yes",$M$25,0)</f>
        <v>0</v>
      </c>
      <c r="Q78" s="2147"/>
      <c r="R78" s="2148"/>
      <c r="T78" s="2138"/>
      <c r="U78" s="2138"/>
      <c r="AM78" s="2492">
        <v>78</v>
      </c>
    </row>
    <row r="79" spans="1:39" s="2107" customFormat="1" ht="15.95" customHeight="1" thickBot="1">
      <c r="A79" s="2110"/>
      <c r="B79" s="2149" t="s">
        <v>1839</v>
      </c>
      <c r="C79" s="2139" t="s">
        <v>4865</v>
      </c>
      <c r="F79" s="2211" t="s">
        <v>4866</v>
      </c>
      <c r="I79" s="2110"/>
      <c r="J79" s="2139"/>
      <c r="K79" s="2139"/>
      <c r="L79" s="2144" t="str">
        <f>IF(OR($O79=$M79,$O79=0,$O79=""),"","* * Check Score! * *")</f>
        <v/>
      </c>
      <c r="M79" s="2212">
        <v>0.5</v>
      </c>
      <c r="N79" s="2145"/>
      <c r="O79" s="2096">
        <v>0</v>
      </c>
      <c r="P79" s="2213"/>
      <c r="Q79" s="2148"/>
      <c r="V79" s="2138"/>
      <c r="AM79" s="2493">
        <v>79</v>
      </c>
    </row>
    <row r="80" spans="1:39" s="2107" customFormat="1" ht="15.95" customHeight="1">
      <c r="A80" s="2110"/>
      <c r="B80" s="2152" t="s">
        <v>1841</v>
      </c>
      <c r="C80" s="2139" t="s">
        <v>3073</v>
      </c>
      <c r="F80" s="2110"/>
      <c r="I80" s="2110"/>
      <c r="J80" s="2139"/>
      <c r="K80" s="2139"/>
      <c r="L80" s="2144" t="str">
        <f>IF(OR($O80=$M80,$O80=0,$O80=""),"","* * Check Score! * *")</f>
        <v/>
      </c>
      <c r="M80" s="2212">
        <v>1</v>
      </c>
      <c r="N80" s="2145"/>
      <c r="O80" s="2214">
        <f>IF(AND(O81="Yes",O82="Yes"),$M80,0)</f>
        <v>0</v>
      </c>
      <c r="P80" s="2214">
        <f>IF(AND(P81="Yes",P82="Yes"),$M80,0)</f>
        <v>0</v>
      </c>
      <c r="Q80" s="2148"/>
      <c r="V80" s="2138"/>
      <c r="AM80" s="2493">
        <v>80</v>
      </c>
    </row>
    <row r="81" spans="1:39">
      <c r="A81" s="2126"/>
      <c r="B81" s="2189"/>
      <c r="C81" s="2161" t="s">
        <v>4964</v>
      </c>
      <c r="D81" s="2264"/>
      <c r="E81" s="2264"/>
      <c r="F81" s="2264"/>
      <c r="G81" s="2264"/>
      <c r="H81" s="2264"/>
      <c r="I81" s="2264"/>
      <c r="J81" s="2264"/>
      <c r="K81" s="2264"/>
      <c r="L81" s="2264"/>
      <c r="M81" s="2264"/>
      <c r="N81" s="2215"/>
      <c r="O81" s="2023" t="s">
        <v>5153</v>
      </c>
      <c r="P81" s="2216"/>
      <c r="V81" s="2138"/>
      <c r="AM81" s="2493">
        <v>81</v>
      </c>
    </row>
    <row r="82" spans="1:39" ht="15.95" customHeight="1">
      <c r="A82" s="2126"/>
      <c r="B82" s="2189"/>
      <c r="C82" s="2107" t="s">
        <v>4709</v>
      </c>
      <c r="D82" s="2107"/>
      <c r="E82" s="2107"/>
      <c r="F82" s="2107"/>
      <c r="G82" s="2107"/>
      <c r="H82" s="2107"/>
      <c r="I82" s="2107"/>
      <c r="J82" s="2107"/>
      <c r="K82" s="2107"/>
      <c r="M82" s="2107"/>
      <c r="N82" s="2217"/>
      <c r="O82" s="2002" t="s">
        <v>5153</v>
      </c>
      <c r="P82" s="2154"/>
      <c r="V82" s="2138"/>
      <c r="AM82" s="2493">
        <v>82</v>
      </c>
    </row>
    <row r="83" spans="1:39" ht="15.95" customHeight="1">
      <c r="A83" s="2107"/>
      <c r="B83" s="2129" t="s">
        <v>4847</v>
      </c>
      <c r="C83" s="2107"/>
      <c r="D83" s="2107"/>
      <c r="E83" s="2107"/>
      <c r="F83" s="2107"/>
      <c r="G83" s="2107"/>
      <c r="H83" s="2107"/>
      <c r="I83" s="2107"/>
      <c r="J83" s="2107"/>
      <c r="K83" s="2107"/>
      <c r="M83" s="2109"/>
      <c r="O83" s="2120"/>
      <c r="AM83" s="2492">
        <v>83</v>
      </c>
    </row>
    <row r="84" spans="1:39" ht="15.95" customHeight="1">
      <c r="A84" s="3830" t="s">
        <v>5158</v>
      </c>
      <c r="B84" s="3831"/>
      <c r="C84" s="3831"/>
      <c r="D84" s="3831"/>
      <c r="E84" s="3831"/>
      <c r="F84" s="3831"/>
      <c r="G84" s="3831"/>
      <c r="H84" s="3831"/>
      <c r="I84" s="3831"/>
      <c r="J84" s="3831"/>
      <c r="K84" s="3831"/>
      <c r="L84" s="3831"/>
      <c r="M84" s="3831"/>
      <c r="N84" s="3831"/>
      <c r="O84" s="3831"/>
      <c r="P84" s="3832"/>
      <c r="Q84" s="2190"/>
      <c r="AM84" s="2493">
        <v>84</v>
      </c>
    </row>
    <row r="85" spans="1:39" s="2107" customFormat="1" ht="15.95" customHeight="1">
      <c r="B85" s="2218" t="s">
        <v>1725</v>
      </c>
      <c r="C85" s="2169"/>
      <c r="D85" s="2218"/>
      <c r="E85" s="2219"/>
      <c r="F85" s="2157"/>
      <c r="G85" s="2157"/>
      <c r="H85" s="2157"/>
      <c r="I85" s="2157"/>
      <c r="J85" s="2157"/>
      <c r="K85" s="2157"/>
      <c r="L85" s="2157"/>
      <c r="M85" s="2157"/>
      <c r="N85" s="2220"/>
      <c r="O85" s="2135"/>
      <c r="P85" s="2110"/>
      <c r="Q85" s="2106"/>
      <c r="AM85" s="2492">
        <v>85</v>
      </c>
    </row>
    <row r="86" spans="1:39" ht="15.95" customHeight="1">
      <c r="A86" s="3806"/>
      <c r="B86" s="3807"/>
      <c r="C86" s="3807"/>
      <c r="D86" s="3807"/>
      <c r="E86" s="3807"/>
      <c r="F86" s="3807"/>
      <c r="G86" s="3807"/>
      <c r="H86" s="3807"/>
      <c r="I86" s="3807"/>
      <c r="J86" s="3807"/>
      <c r="K86" s="3807"/>
      <c r="L86" s="3807"/>
      <c r="M86" s="3807"/>
      <c r="N86" s="3807"/>
      <c r="O86" s="3807"/>
      <c r="P86" s="3808"/>
      <c r="Q86" s="2173"/>
      <c r="AM86" s="2492">
        <v>86</v>
      </c>
    </row>
    <row r="87" spans="1:39" ht="9.75" customHeight="1">
      <c r="A87" s="2107"/>
      <c r="B87" s="2126"/>
      <c r="C87" s="2107"/>
      <c r="D87" s="1996"/>
      <c r="E87" s="1997"/>
      <c r="F87" s="1997"/>
      <c r="G87" s="2136"/>
      <c r="H87" s="2136"/>
      <c r="I87" s="2136"/>
      <c r="J87" s="2136"/>
      <c r="K87" s="2136"/>
      <c r="L87" s="2136"/>
      <c r="M87" s="2109"/>
      <c r="O87" s="2120"/>
      <c r="P87" s="2110"/>
      <c r="R87" s="2107"/>
      <c r="S87" s="2107"/>
      <c r="T87" s="2107"/>
      <c r="U87" s="2107"/>
      <c r="V87" s="2107"/>
      <c r="W87" s="2107"/>
      <c r="X87" s="2137"/>
      <c r="Y87" s="2137"/>
      <c r="Z87" s="2137"/>
      <c r="AA87" s="2137"/>
      <c r="AB87" s="2137"/>
      <c r="AC87" s="2137"/>
      <c r="AD87" s="2137"/>
      <c r="AE87" s="2137"/>
      <c r="AF87" s="2137"/>
      <c r="AG87" s="2137"/>
      <c r="AH87" s="2137"/>
      <c r="AI87" s="2137"/>
      <c r="AM87" s="2492">
        <v>87</v>
      </c>
    </row>
    <row r="88" spans="1:39" ht="9.75" customHeight="1" thickBot="1">
      <c r="T88" s="2138"/>
      <c r="U88" s="2138"/>
      <c r="AM88" s="2492">
        <v>88</v>
      </c>
    </row>
    <row r="89" spans="1:39" s="2107" customFormat="1" ht="15.95" customHeight="1" thickBot="1">
      <c r="A89" s="2221" t="s">
        <v>495</v>
      </c>
      <c r="B89" s="2131" t="s">
        <v>3908</v>
      </c>
      <c r="D89" s="2131"/>
      <c r="E89" s="2131"/>
      <c r="K89" s="2144"/>
      <c r="L89" s="2140" t="s">
        <v>4896</v>
      </c>
      <c r="M89" s="2110">
        <v>10</v>
      </c>
      <c r="N89" s="2109"/>
      <c r="O89" s="2141">
        <f>MIN($M$89,O91-O92+O95)</f>
        <v>10</v>
      </c>
      <c r="P89" s="2141">
        <f>MIN($M$89,P91-P92+P95)</f>
        <v>10</v>
      </c>
      <c r="Q89" s="2142" t="s">
        <v>415</v>
      </c>
      <c r="AM89" s="2493">
        <v>89</v>
      </c>
    </row>
    <row r="90" spans="1:39" s="2107" customFormat="1" ht="15.95" hidden="1" customHeight="1">
      <c r="A90" s="2221"/>
      <c r="B90" s="2131"/>
      <c r="D90" s="2131"/>
      <c r="E90" s="2131"/>
      <c r="L90" s="2144"/>
      <c r="M90" s="2110"/>
      <c r="N90" s="2109"/>
      <c r="O90" s="2109"/>
      <c r="P90" s="2109"/>
      <c r="Q90" s="2142"/>
      <c r="AM90" s="2493">
        <v>90</v>
      </c>
    </row>
    <row r="91" spans="1:39" s="2107" customFormat="1" ht="15.95" customHeight="1">
      <c r="A91" s="2221"/>
      <c r="B91" s="2118" t="s">
        <v>3093</v>
      </c>
      <c r="D91" s="2131"/>
      <c r="E91" s="2131"/>
      <c r="L91" s="2144"/>
      <c r="M91" s="2110"/>
      <c r="N91" s="2109"/>
      <c r="O91" s="2222">
        <v>10</v>
      </c>
      <c r="P91" s="2222">
        <v>10</v>
      </c>
      <c r="Q91" s="2142"/>
      <c r="AM91" s="2493">
        <v>91</v>
      </c>
    </row>
    <row r="92" spans="1:39" s="2107" customFormat="1" ht="15.95" customHeight="1">
      <c r="A92" s="2110" t="s">
        <v>1836</v>
      </c>
      <c r="B92" s="2118" t="s">
        <v>4746</v>
      </c>
      <c r="D92" s="2131"/>
      <c r="E92" s="2131"/>
      <c r="L92" s="2144"/>
      <c r="M92" s="2110"/>
      <c r="N92" s="2109"/>
      <c r="O92" s="2223">
        <f>SUM(O93:O94)</f>
        <v>0</v>
      </c>
      <c r="P92" s="2223">
        <f>SUM(P93:P94)</f>
        <v>0</v>
      </c>
      <c r="Q92" s="2142"/>
      <c r="AM92" s="2493">
        <v>92</v>
      </c>
    </row>
    <row r="93" spans="1:39" s="2107" customFormat="1" ht="15.95" customHeight="1">
      <c r="A93" s="2110"/>
      <c r="B93" s="2149" t="s">
        <v>1839</v>
      </c>
      <c r="C93" s="2107" t="s">
        <v>4941</v>
      </c>
      <c r="D93" s="2131"/>
      <c r="E93" s="2131"/>
      <c r="L93" s="2144"/>
      <c r="M93" s="2224"/>
      <c r="N93" s="2109"/>
      <c r="O93" s="2024">
        <v>0</v>
      </c>
      <c r="P93" s="2225"/>
      <c r="Q93" s="2142"/>
      <c r="AM93" s="2492">
        <v>93</v>
      </c>
    </row>
    <row r="94" spans="1:39" s="2107" customFormat="1" ht="15.95" customHeight="1">
      <c r="A94" s="2110"/>
      <c r="B94" s="2152" t="s">
        <v>1841</v>
      </c>
      <c r="C94" s="2107" t="s">
        <v>4942</v>
      </c>
      <c r="D94" s="2131"/>
      <c r="E94" s="2131"/>
      <c r="L94" s="2144"/>
      <c r="M94" s="2224"/>
      <c r="N94" s="2109"/>
      <c r="O94" s="2102">
        <v>0</v>
      </c>
      <c r="P94" s="2226"/>
      <c r="Q94" s="2142"/>
      <c r="AM94" s="2493">
        <v>94</v>
      </c>
    </row>
    <row r="95" spans="1:39" s="2107" customFormat="1" ht="15.95" customHeight="1">
      <c r="A95" s="2110" t="s">
        <v>1838</v>
      </c>
      <c r="B95" s="2118" t="s">
        <v>4747</v>
      </c>
      <c r="D95" s="2131"/>
      <c r="E95" s="2131"/>
      <c r="L95" s="2144"/>
      <c r="M95" s="2110"/>
      <c r="N95" s="2109"/>
      <c r="O95" s="2025">
        <v>0</v>
      </c>
      <c r="P95" s="2227"/>
      <c r="Q95" s="2142"/>
      <c r="AM95" s="2492">
        <v>95</v>
      </c>
    </row>
    <row r="96" spans="1:39" s="2107" customFormat="1" ht="15.95" customHeight="1">
      <c r="A96" s="2129"/>
      <c r="B96" s="2129" t="s">
        <v>1725</v>
      </c>
      <c r="D96" s="2129"/>
      <c r="E96" s="2157"/>
      <c r="F96" s="2157"/>
      <c r="G96" s="2157"/>
      <c r="H96" s="2157"/>
      <c r="I96" s="2157"/>
      <c r="J96" s="2157"/>
      <c r="K96" s="2157"/>
      <c r="L96" s="2157"/>
      <c r="M96" s="2157"/>
      <c r="N96" s="2220"/>
      <c r="O96" s="2135"/>
      <c r="P96" s="2110"/>
      <c r="AM96" s="2492">
        <v>96</v>
      </c>
    </row>
    <row r="97" spans="1:39" ht="15.95" customHeight="1">
      <c r="A97" s="3806"/>
      <c r="B97" s="3807"/>
      <c r="C97" s="3807"/>
      <c r="D97" s="3807"/>
      <c r="E97" s="3807"/>
      <c r="F97" s="3807"/>
      <c r="G97" s="3807"/>
      <c r="H97" s="3807"/>
      <c r="I97" s="3807"/>
      <c r="J97" s="3807"/>
      <c r="K97" s="3807"/>
      <c r="L97" s="3807"/>
      <c r="M97" s="3807"/>
      <c r="N97" s="3807"/>
      <c r="O97" s="3807"/>
      <c r="P97" s="3808"/>
      <c r="Q97" s="2190"/>
      <c r="R97" s="2190"/>
      <c r="AM97" s="2492">
        <v>97</v>
      </c>
    </row>
    <row r="98" spans="1:39" ht="9.75" customHeight="1">
      <c r="A98" s="2107"/>
      <c r="B98" s="2126"/>
      <c r="C98" s="2107"/>
      <c r="D98" s="1996"/>
      <c r="E98" s="1997"/>
      <c r="F98" s="1997"/>
      <c r="G98" s="2136"/>
      <c r="H98" s="2136"/>
      <c r="I98" s="2136"/>
      <c r="J98" s="2136"/>
      <c r="K98" s="2136"/>
      <c r="L98" s="2136"/>
      <c r="M98" s="2109"/>
      <c r="O98" s="2120"/>
      <c r="P98" s="2110"/>
      <c r="R98" s="2107"/>
      <c r="S98" s="2107"/>
      <c r="T98" s="2107"/>
      <c r="U98" s="2107"/>
      <c r="V98" s="2107"/>
      <c r="W98" s="2107"/>
      <c r="X98" s="2137"/>
      <c r="Y98" s="2137"/>
      <c r="Z98" s="2137"/>
      <c r="AA98" s="2137"/>
      <c r="AB98" s="2137"/>
      <c r="AC98" s="2137"/>
      <c r="AD98" s="2137"/>
      <c r="AE98" s="2137"/>
      <c r="AF98" s="2137"/>
      <c r="AG98" s="2137"/>
      <c r="AH98" s="2137"/>
      <c r="AI98" s="2137"/>
      <c r="AM98" s="2492">
        <v>98</v>
      </c>
    </row>
    <row r="99" spans="1:39" ht="9.75" customHeight="1" thickBot="1">
      <c r="T99" s="2138"/>
      <c r="U99" s="2138"/>
      <c r="AM99" s="2493">
        <v>99</v>
      </c>
    </row>
    <row r="100" spans="1:39" ht="15.95" customHeight="1" thickBot="1">
      <c r="A100" s="2221" t="s">
        <v>719</v>
      </c>
      <c r="B100" s="2131" t="s">
        <v>4501</v>
      </c>
      <c r="C100" s="2159"/>
      <c r="D100" s="2159"/>
      <c r="E100" s="2159"/>
      <c r="F100" s="2159"/>
      <c r="G100" s="2228" t="s">
        <v>4873</v>
      </c>
      <c r="H100" s="2159"/>
      <c r="K100" s="2159"/>
      <c r="L100" s="2140" t="s">
        <v>4896</v>
      </c>
      <c r="M100" s="2110">
        <v>5</v>
      </c>
      <c r="N100" s="2171"/>
      <c r="O100" s="2141">
        <f>IF(OR((O101+O107+O108)&gt;$M100,(O101+O107)&gt;$M101,O108&gt;$M$108),"Check",IF((O101+O107+O108)&lt;=$M$100,(O101+O107+O108),""))</f>
        <v>4</v>
      </c>
      <c r="P100" s="2141">
        <f>IF(OR((P101+P107+P108)&gt;$M100,(P101+P107)&gt;$M101,P108&gt;$M$108),"Check",IF((P101+P107+P108)&lt;=$M$100,(P101+P107+P108),""))</f>
        <v>2</v>
      </c>
      <c r="Q100" s="2142" t="s">
        <v>415</v>
      </c>
      <c r="R100" s="2148"/>
      <c r="AM100" s="2493">
        <v>100</v>
      </c>
    </row>
    <row r="101" spans="1:39" ht="15.95" customHeight="1">
      <c r="A101" s="2110" t="s">
        <v>1836</v>
      </c>
      <c r="B101" s="2118" t="s">
        <v>4870</v>
      </c>
      <c r="C101" s="2107"/>
      <c r="D101" s="2107"/>
      <c r="E101" s="2118"/>
      <c r="F101" s="2107"/>
      <c r="G101" s="2208"/>
      <c r="H101" s="2107"/>
      <c r="I101" s="2107"/>
      <c r="J101" s="2107"/>
      <c r="K101" s="2109"/>
      <c r="L101" s="2145"/>
      <c r="M101" s="2109">
        <v>3</v>
      </c>
      <c r="N101" s="2229"/>
      <c r="O101" s="2230">
        <f>IF(AND(O103&gt;0,O104&gt;0),"1or2?",MIN($M101,SUM(O103,O104)))</f>
        <v>2</v>
      </c>
      <c r="P101" s="2230">
        <f>IF(AND(P103&gt;0,P104&gt;0),"1or2?",MIN($M101,SUM(P103,P104)))</f>
        <v>0</v>
      </c>
      <c r="Q101" s="2147" t="str">
        <f>IF(OR($O101=$M101,$O101=0,$O101=""),"","*CHECK!*")</f>
        <v>*CHECK!*</v>
      </c>
      <c r="R101" s="2148"/>
      <c r="AM101" s="2493">
        <v>101</v>
      </c>
    </row>
    <row r="102" spans="1:39" ht="31.5" customHeight="1">
      <c r="A102" s="2110"/>
      <c r="B102" s="3787" t="s">
        <v>5024</v>
      </c>
      <c r="C102" s="3787"/>
      <c r="D102" s="3787"/>
      <c r="E102" s="3787"/>
      <c r="F102" s="3787"/>
      <c r="G102" s="3787"/>
      <c r="H102" s="3787"/>
      <c r="I102" s="3787"/>
      <c r="J102" s="3787"/>
      <c r="K102" s="3787"/>
      <c r="L102" s="3787"/>
      <c r="M102" s="2109"/>
      <c r="N102" s="2109"/>
      <c r="O102" s="2109"/>
      <c r="P102" s="2109"/>
      <c r="Q102" s="2147"/>
      <c r="R102" s="2148"/>
      <c r="AM102" s="2493">
        <v>102</v>
      </c>
    </row>
    <row r="103" spans="1:39" s="2162" customFormat="1" ht="15.95" customHeight="1">
      <c r="A103" s="2110"/>
      <c r="B103" s="2149" t="s">
        <v>1839</v>
      </c>
      <c r="C103" s="2107" t="s">
        <v>4871</v>
      </c>
      <c r="D103" s="2125"/>
      <c r="E103" s="2125"/>
      <c r="F103" s="2125"/>
      <c r="G103" s="2107"/>
      <c r="H103" s="2125"/>
      <c r="I103" s="2125"/>
      <c r="J103" s="3858" t="s">
        <v>4681</v>
      </c>
      <c r="K103" s="3859"/>
      <c r="L103" s="2125"/>
      <c r="M103" s="2212">
        <v>2</v>
      </c>
      <c r="N103" s="2231"/>
      <c r="O103" s="2008">
        <v>2</v>
      </c>
      <c r="P103" s="2277"/>
      <c r="Q103" s="2147" t="str">
        <f>IF(OR($O103=$M103,$O103=0,$O103=""),"","*CHECK!*")</f>
        <v/>
      </c>
      <c r="R103" s="2148"/>
      <c r="AM103" s="2492">
        <v>103</v>
      </c>
    </row>
    <row r="104" spans="1:39" s="2162" customFormat="1" ht="15.95" customHeight="1">
      <c r="A104" s="2110"/>
      <c r="B104" s="2152" t="s">
        <v>1841</v>
      </c>
      <c r="C104" s="2107" t="s">
        <v>4872</v>
      </c>
      <c r="D104" s="2125"/>
      <c r="E104" s="2125"/>
      <c r="F104" s="2125"/>
      <c r="G104" s="2107"/>
      <c r="H104" s="2125"/>
      <c r="J104" s="2497" t="s">
        <v>4682</v>
      </c>
      <c r="K104" s="2498" t="s">
        <v>5042</v>
      </c>
      <c r="L104" s="2495"/>
      <c r="M104" s="2212">
        <v>3</v>
      </c>
      <c r="N104" s="2231"/>
      <c r="O104" s="2012">
        <v>0</v>
      </c>
      <c r="P104" s="2236"/>
      <c r="Q104" s="2147" t="str">
        <f>IF(OR($O104=$M104,$O104=0,$O104=""),"","*CHECK!*")</f>
        <v/>
      </c>
      <c r="R104" s="2148"/>
      <c r="AM104" s="2493">
        <v>104</v>
      </c>
    </row>
    <row r="105" spans="1:39">
      <c r="B105" s="2106" t="s">
        <v>5023</v>
      </c>
      <c r="H105" s="2140"/>
      <c r="J105" s="2496">
        <f>'Part V-Revenues &amp; Expenses'!P67*'Part VIII Scoring Criteria'!K105</f>
        <v>8</v>
      </c>
      <c r="K105" s="2452">
        <v>0.1</v>
      </c>
      <c r="M105" s="2140" t="s">
        <v>5041</v>
      </c>
      <c r="O105" s="2000">
        <v>8</v>
      </c>
      <c r="P105" s="2239"/>
      <c r="T105" s="2138"/>
      <c r="U105" s="2138"/>
      <c r="AM105" s="2492">
        <v>105</v>
      </c>
    </row>
    <row r="106" spans="1:39" ht="41.45" customHeight="1">
      <c r="B106" s="3857" t="s">
        <v>5022</v>
      </c>
      <c r="C106" s="3857"/>
      <c r="D106" s="3857"/>
      <c r="E106" s="3857"/>
      <c r="F106" s="3857"/>
      <c r="G106" s="3857"/>
      <c r="H106" s="3857"/>
      <c r="I106" s="3857"/>
      <c r="J106" s="3857"/>
      <c r="K106" s="3857"/>
      <c r="L106" s="3857"/>
      <c r="O106" s="2015" t="s">
        <v>2641</v>
      </c>
      <c r="P106" s="2160"/>
      <c r="T106" s="2138"/>
      <c r="U106" s="2138"/>
      <c r="AM106" s="2492">
        <v>106</v>
      </c>
    </row>
    <row r="107" spans="1:39" ht="15.95" customHeight="1">
      <c r="A107" s="2110" t="s">
        <v>1838</v>
      </c>
      <c r="B107" s="2118" t="s">
        <v>4137</v>
      </c>
      <c r="C107" s="2107"/>
      <c r="D107" s="2107"/>
      <c r="E107" s="2107"/>
      <c r="F107" s="2107"/>
      <c r="G107" s="2107"/>
      <c r="H107" s="2107"/>
      <c r="I107" s="2107"/>
      <c r="J107" s="2107"/>
      <c r="K107" s="2107"/>
      <c r="L107" s="2107"/>
      <c r="M107" s="2109">
        <v>1</v>
      </c>
      <c r="N107" s="2229"/>
      <c r="O107" s="2010">
        <v>0</v>
      </c>
      <c r="P107" s="2227"/>
      <c r="Q107" s="2147" t="str">
        <f>IF(OR($O107=$M107,$O107=0,$O107=""),"","*CHECK!*")</f>
        <v/>
      </c>
      <c r="R107" s="2148"/>
      <c r="AM107" s="2492">
        <v>107</v>
      </c>
    </row>
    <row r="108" spans="1:39" s="2107" customFormat="1" ht="15.95" customHeight="1">
      <c r="A108" s="2110" t="s">
        <v>697</v>
      </c>
      <c r="B108" s="2118" t="s">
        <v>4869</v>
      </c>
      <c r="G108" s="2232" t="s">
        <v>4874</v>
      </c>
      <c r="M108" s="2109">
        <v>2</v>
      </c>
      <c r="N108" s="2229"/>
      <c r="O108" s="2155">
        <f>O109-O110</f>
        <v>2</v>
      </c>
      <c r="P108" s="2155">
        <f>P109-P110</f>
        <v>2</v>
      </c>
      <c r="Q108" s="2147" t="str">
        <f>IF(OR($O108=$M108,$O108=0,$O108=""),"","*CHECK!*")</f>
        <v/>
      </c>
      <c r="AM108" s="2492">
        <v>108</v>
      </c>
    </row>
    <row r="109" spans="1:39" s="2107" customFormat="1" ht="15.95" customHeight="1">
      <c r="A109" s="2221"/>
      <c r="C109" s="2118" t="s">
        <v>3093</v>
      </c>
      <c r="D109" s="2131"/>
      <c r="E109" s="2131"/>
      <c r="L109" s="2144"/>
      <c r="M109" s="2110"/>
      <c r="N109" s="2109"/>
      <c r="O109" s="2233">
        <v>2</v>
      </c>
      <c r="P109" s="2233">
        <v>2</v>
      </c>
      <c r="Q109" s="2142"/>
      <c r="AM109" s="2492">
        <v>109</v>
      </c>
    </row>
    <row r="110" spans="1:39" s="2107" customFormat="1" ht="15.95" customHeight="1">
      <c r="A110" s="2221"/>
      <c r="C110" s="2118" t="s">
        <v>3094</v>
      </c>
      <c r="D110" s="2131"/>
      <c r="E110" s="2131"/>
      <c r="L110" s="2144"/>
      <c r="M110" s="2110"/>
      <c r="N110" s="2109"/>
      <c r="O110" s="2025">
        <v>0</v>
      </c>
      <c r="P110" s="2227"/>
      <c r="Q110" s="2142"/>
      <c r="R110" s="2148"/>
      <c r="AM110" s="2492">
        <v>110</v>
      </c>
    </row>
    <row r="111" spans="1:39" ht="15.95" customHeight="1">
      <c r="A111" s="2107"/>
      <c r="B111" s="2129" t="s">
        <v>4847</v>
      </c>
      <c r="C111" s="2107"/>
      <c r="D111" s="2107"/>
      <c r="E111" s="2107"/>
      <c r="F111" s="2107"/>
      <c r="G111" s="2107"/>
      <c r="H111" s="2107"/>
      <c r="I111" s="2107"/>
      <c r="J111" s="2107"/>
      <c r="K111" s="2107"/>
      <c r="M111" s="2109"/>
      <c r="O111" s="2120"/>
      <c r="AM111" s="2492">
        <v>111</v>
      </c>
    </row>
    <row r="112" spans="1:39" ht="15.95" customHeight="1">
      <c r="A112" s="3830" t="s">
        <v>5160</v>
      </c>
      <c r="B112" s="3831"/>
      <c r="C112" s="3831"/>
      <c r="D112" s="3831"/>
      <c r="E112" s="3831"/>
      <c r="F112" s="3831"/>
      <c r="G112" s="3831"/>
      <c r="H112" s="3831"/>
      <c r="I112" s="3831"/>
      <c r="J112" s="3831"/>
      <c r="K112" s="3831"/>
      <c r="L112" s="3831"/>
      <c r="M112" s="3831"/>
      <c r="N112" s="3831"/>
      <c r="O112" s="3831"/>
      <c r="P112" s="3832"/>
      <c r="Q112" s="2190"/>
      <c r="R112" s="2190"/>
      <c r="AM112" s="2493">
        <v>112</v>
      </c>
    </row>
    <row r="113" spans="1:39" ht="15.95" customHeight="1">
      <c r="B113" s="2168" t="s">
        <v>1725</v>
      </c>
      <c r="C113" s="2169"/>
      <c r="D113" s="2168"/>
      <c r="E113" s="2170"/>
      <c r="F113" s="2159"/>
      <c r="G113" s="2159"/>
      <c r="H113" s="2159"/>
      <c r="I113" s="2159"/>
      <c r="J113" s="2159"/>
      <c r="K113" s="2159"/>
      <c r="L113" s="2159"/>
      <c r="M113" s="2159"/>
      <c r="N113" s="2171"/>
      <c r="O113" s="2172"/>
      <c r="P113" s="2110"/>
      <c r="AM113" s="2493">
        <v>113</v>
      </c>
    </row>
    <row r="114" spans="1:39" ht="15.95" customHeight="1">
      <c r="A114" s="3806"/>
      <c r="B114" s="3807"/>
      <c r="C114" s="3807"/>
      <c r="D114" s="3807"/>
      <c r="E114" s="3807"/>
      <c r="F114" s="3807"/>
      <c r="G114" s="3807"/>
      <c r="H114" s="3807"/>
      <c r="I114" s="3807"/>
      <c r="J114" s="3807"/>
      <c r="K114" s="3807"/>
      <c r="L114" s="3807"/>
      <c r="M114" s="3807"/>
      <c r="N114" s="3807"/>
      <c r="O114" s="3807"/>
      <c r="P114" s="3808"/>
      <c r="Q114" s="2173"/>
      <c r="AM114" s="2493">
        <v>114</v>
      </c>
    </row>
    <row r="115" spans="1:39" ht="9.75" customHeight="1">
      <c r="A115" s="2221"/>
      <c r="B115" s="2107"/>
      <c r="C115" s="2159"/>
      <c r="D115" s="2159"/>
      <c r="E115" s="2159"/>
      <c r="F115" s="2159"/>
      <c r="G115" s="2159"/>
      <c r="H115" s="2159"/>
      <c r="I115" s="2159"/>
      <c r="J115" s="2159"/>
      <c r="K115" s="2159"/>
      <c r="L115" s="2159"/>
      <c r="M115" s="2159"/>
      <c r="N115" s="2171"/>
      <c r="O115" s="2172"/>
      <c r="P115" s="2110"/>
      <c r="AM115" s="2493">
        <v>115</v>
      </c>
    </row>
    <row r="116" spans="1:39" ht="9.75" customHeight="1" thickBot="1">
      <c r="A116" s="2221"/>
      <c r="B116" s="2107"/>
      <c r="C116" s="2159"/>
      <c r="D116" s="2159"/>
      <c r="E116" s="2159"/>
      <c r="F116" s="2159"/>
      <c r="G116" s="2159"/>
      <c r="H116" s="2159"/>
      <c r="I116" s="2159"/>
      <c r="J116" s="2159"/>
      <c r="K116" s="2159"/>
      <c r="L116" s="2159"/>
      <c r="M116" s="2159"/>
      <c r="N116" s="2171"/>
      <c r="O116" s="2172"/>
      <c r="P116" s="2110"/>
      <c r="AM116" s="2492">
        <v>116</v>
      </c>
    </row>
    <row r="117" spans="1:39" s="2107" customFormat="1" ht="15.95" customHeight="1" thickBot="1">
      <c r="A117" s="2221" t="s">
        <v>280</v>
      </c>
      <c r="B117" s="2131" t="s">
        <v>4848</v>
      </c>
      <c r="D117" s="2131"/>
      <c r="E117" s="2131"/>
      <c r="L117" s="2140" t="s">
        <v>4896</v>
      </c>
      <c r="M117" s="2110">
        <v>13</v>
      </c>
      <c r="N117" s="2109"/>
      <c r="O117" s="2141">
        <f>MIN($M$117,O121+SUM(O124:O132))</f>
        <v>13</v>
      </c>
      <c r="P117" s="2141">
        <f>MIN($M$117,P121+SUM(P124:P132))</f>
        <v>0</v>
      </c>
      <c r="Q117" s="2142" t="s">
        <v>415</v>
      </c>
      <c r="R117" s="2148"/>
      <c r="AM117" s="2493">
        <v>117</v>
      </c>
    </row>
    <row r="118" spans="1:39" s="2107" customFormat="1" ht="15.95" customHeight="1">
      <c r="A118" s="2110" t="s">
        <v>1836</v>
      </c>
      <c r="B118" s="2118" t="s">
        <v>4891</v>
      </c>
      <c r="C118" s="2118"/>
      <c r="D118" s="2118"/>
      <c r="F118" s="2234"/>
      <c r="H118" s="2145"/>
      <c r="I118" s="2104"/>
      <c r="J118" s="2104"/>
      <c r="K118" s="2104"/>
      <c r="L118" s="2104"/>
      <c r="M118" s="2104"/>
      <c r="N118" s="2104"/>
      <c r="O118" s="2104"/>
      <c r="P118" s="2104"/>
      <c r="Q118" s="2235"/>
      <c r="R118" s="2148"/>
      <c r="AM118" s="2492">
        <v>118</v>
      </c>
    </row>
    <row r="119" spans="1:39" s="2107" customFormat="1" ht="15.95" customHeight="1">
      <c r="A119" s="2110"/>
      <c r="B119" s="2107" t="s">
        <v>4968</v>
      </c>
      <c r="C119" s="2118"/>
      <c r="D119" s="2118"/>
      <c r="F119" s="2234"/>
      <c r="H119" s="2145"/>
      <c r="I119" s="2104"/>
      <c r="J119" s="2104"/>
      <c r="K119" s="2104"/>
      <c r="L119" s="2104"/>
      <c r="M119" s="2104"/>
      <c r="N119" s="2104"/>
      <c r="O119" s="2104"/>
      <c r="P119" s="2104"/>
      <c r="Q119" s="2235"/>
      <c r="R119" s="2148"/>
      <c r="AM119" s="2492">
        <v>119</v>
      </c>
    </row>
    <row r="120" spans="1:39" s="2107" customFormat="1" ht="15.95" customHeight="1">
      <c r="A120" s="2110"/>
      <c r="C120" s="2118" t="s">
        <v>4972</v>
      </c>
      <c r="D120" s="2118"/>
      <c r="F120" s="2234"/>
      <c r="H120" s="2145"/>
      <c r="I120" s="2104"/>
      <c r="J120" s="2104"/>
      <c r="K120" s="2104"/>
      <c r="L120" s="2104"/>
      <c r="M120" s="2104"/>
      <c r="N120" s="2104"/>
      <c r="O120" s="2104"/>
      <c r="P120" s="2104"/>
      <c r="Q120" s="2235"/>
      <c r="R120" s="2148"/>
      <c r="AM120" s="2492">
        <v>120</v>
      </c>
    </row>
    <row r="121" spans="1:39" s="2107" customFormat="1" ht="15.95" customHeight="1">
      <c r="A121" s="2110"/>
      <c r="B121" s="2149"/>
      <c r="C121" s="2238" t="s">
        <v>4966</v>
      </c>
      <c r="F121" s="2110"/>
      <c r="I121" s="2110"/>
      <c r="J121" s="2109" t="s">
        <v>4967</v>
      </c>
      <c r="L121" s="2144"/>
      <c r="M121" s="2212">
        <v>5</v>
      </c>
      <c r="N121" s="2145"/>
      <c r="O121" s="2214">
        <f>IF(AND(O122="Yes", O123="Yes"),$M121,0)</f>
        <v>5</v>
      </c>
      <c r="P121" s="2214">
        <f>IF(AND(P122="Yes", P123="Yes"),$M121,0)</f>
        <v>0</v>
      </c>
      <c r="Q121" s="2148"/>
      <c r="V121" s="2138"/>
      <c r="AM121" s="2492">
        <v>121</v>
      </c>
    </row>
    <row r="122" spans="1:39" s="2107" customFormat="1" ht="15.95" customHeight="1">
      <c r="A122" s="2110"/>
      <c r="B122" s="2150"/>
      <c r="C122" s="2118"/>
      <c r="D122" s="2139" t="s">
        <v>4969</v>
      </c>
      <c r="F122" s="2110"/>
      <c r="I122" s="2110"/>
      <c r="J122" s="2095" t="s">
        <v>5161</v>
      </c>
      <c r="M122" s="2212"/>
      <c r="N122" s="2145"/>
      <c r="O122" s="2395" t="str">
        <f>IF($J122="Submitted", "Yes","")</f>
        <v>Yes</v>
      </c>
      <c r="P122" s="2151"/>
      <c r="Q122" s="2145"/>
      <c r="V122" s="2138"/>
      <c r="AM122" s="2492">
        <v>122</v>
      </c>
    </row>
    <row r="123" spans="1:39" s="2107" customFormat="1" ht="15.95" customHeight="1">
      <c r="A123" s="2110"/>
      <c r="B123" s="2150"/>
      <c r="C123" s="2118"/>
      <c r="D123" s="2139" t="s">
        <v>4970</v>
      </c>
      <c r="F123" s="2110"/>
      <c r="I123" s="2110"/>
      <c r="J123" s="2015" t="s">
        <v>5161</v>
      </c>
      <c r="K123" s="2145"/>
      <c r="M123" s="2212"/>
      <c r="N123" s="2145"/>
      <c r="O123" s="2396" t="str">
        <f>IF($J123="Submitted", "Yes","")</f>
        <v>Yes</v>
      </c>
      <c r="P123" s="2160"/>
      <c r="Q123" s="2145"/>
      <c r="V123" s="2138"/>
      <c r="AM123" s="2492">
        <v>123</v>
      </c>
    </row>
    <row r="124" spans="1:39" s="2107" customFormat="1" ht="15.95" customHeight="1">
      <c r="A124" s="2110"/>
      <c r="B124" s="2150"/>
      <c r="C124" s="2139" t="s">
        <v>4893</v>
      </c>
      <c r="D124" s="2118"/>
      <c r="F124" s="2110"/>
      <c r="I124" s="2110"/>
      <c r="J124" s="2017" t="s">
        <v>5161</v>
      </c>
      <c r="K124" s="2139"/>
      <c r="L124" s="2144" t="str">
        <f t="shared" ref="L124:L132" si="1">IF(OR($O124=$M124,$O124=0,$O124=""),"","* * Check Score! * *")</f>
        <v/>
      </c>
      <c r="M124" s="2212">
        <v>1</v>
      </c>
      <c r="N124" s="2145"/>
      <c r="O124" s="2012">
        <v>1</v>
      </c>
      <c r="P124" s="2236"/>
      <c r="Q124" s="2145"/>
      <c r="V124" s="2138"/>
      <c r="AM124" s="2493">
        <v>124</v>
      </c>
    </row>
    <row r="125" spans="1:39" s="2107" customFormat="1" ht="15.95" customHeight="1">
      <c r="A125" s="2110"/>
      <c r="B125" s="2150"/>
      <c r="C125" s="2139" t="s">
        <v>4894</v>
      </c>
      <c r="D125" s="2118"/>
      <c r="F125" s="2110"/>
      <c r="I125" s="2110"/>
      <c r="J125" s="2017" t="s">
        <v>5161</v>
      </c>
      <c r="K125" s="2139"/>
      <c r="L125" s="2166" t="str">
        <f t="shared" si="1"/>
        <v/>
      </c>
      <c r="M125" s="2212">
        <v>1</v>
      </c>
      <c r="N125" s="2145"/>
      <c r="O125" s="2000">
        <v>1</v>
      </c>
      <c r="P125" s="2239"/>
      <c r="Q125" s="2148"/>
      <c r="V125" s="2138"/>
      <c r="AM125" s="2493">
        <v>125</v>
      </c>
    </row>
    <row r="126" spans="1:39" s="2107" customFormat="1" ht="15.95" customHeight="1">
      <c r="A126" s="2110"/>
      <c r="B126" s="2149"/>
      <c r="C126" s="2139" t="s">
        <v>4971</v>
      </c>
      <c r="D126" s="2118"/>
      <c r="F126" s="2110"/>
      <c r="I126" s="2110"/>
      <c r="J126" s="2017" t="s">
        <v>5161</v>
      </c>
      <c r="K126" s="2139"/>
      <c r="L126" s="2144" t="str">
        <f t="shared" si="1"/>
        <v/>
      </c>
      <c r="M126" s="2212">
        <v>1</v>
      </c>
      <c r="N126" s="2145"/>
      <c r="O126" s="2001">
        <v>1</v>
      </c>
      <c r="P126" s="2237"/>
      <c r="Q126" s="2148"/>
      <c r="V126" s="2138"/>
      <c r="AM126" s="2493">
        <v>126</v>
      </c>
    </row>
    <row r="127" spans="1:39" s="2107" customFormat="1" ht="15.95" customHeight="1">
      <c r="A127" s="2110"/>
      <c r="B127" s="2149"/>
      <c r="C127" s="2238" t="s">
        <v>5012</v>
      </c>
      <c r="D127" s="2118"/>
      <c r="F127" s="2110"/>
      <c r="V127" s="2138"/>
      <c r="AM127" s="2492">
        <v>127</v>
      </c>
    </row>
    <row r="128" spans="1:39" s="2107" customFormat="1" ht="15.95" customHeight="1">
      <c r="A128" s="2110"/>
      <c r="B128" s="2152"/>
      <c r="C128" s="2139" t="s">
        <v>5013</v>
      </c>
      <c r="F128" s="2109"/>
      <c r="I128" s="2109"/>
      <c r="J128" s="2017" t="s">
        <v>5161</v>
      </c>
      <c r="K128" s="2139"/>
      <c r="L128" s="2144" t="str">
        <f t="shared" si="1"/>
        <v/>
      </c>
      <c r="M128" s="2212">
        <v>1</v>
      </c>
      <c r="N128" s="2145"/>
      <c r="O128" s="2012">
        <v>1</v>
      </c>
      <c r="P128" s="2236"/>
      <c r="Q128" s="2148"/>
      <c r="V128" s="2138"/>
      <c r="AM128" s="2492">
        <v>128</v>
      </c>
    </row>
    <row r="129" spans="1:39" s="2107" customFormat="1" ht="15" customHeight="1">
      <c r="A129" s="2110"/>
      <c r="B129" s="2152"/>
      <c r="C129" s="2162" t="s">
        <v>4973</v>
      </c>
      <c r="D129" s="2162"/>
      <c r="E129" s="2162"/>
      <c r="F129" s="2162"/>
      <c r="G129" s="2162"/>
      <c r="H129" s="2162"/>
      <c r="I129" s="2162"/>
      <c r="J129" s="2017" t="s">
        <v>5161</v>
      </c>
      <c r="K129" s="2162"/>
      <c r="L129" s="2144" t="str">
        <f t="shared" si="1"/>
        <v/>
      </c>
      <c r="M129" s="2240">
        <v>1</v>
      </c>
      <c r="N129" s="2164"/>
      <c r="O129" s="2013">
        <v>1</v>
      </c>
      <c r="P129" s="2241"/>
      <c r="Q129" s="2148"/>
      <c r="V129" s="2138"/>
      <c r="AM129" s="2493">
        <v>129</v>
      </c>
    </row>
    <row r="130" spans="1:39" s="2107" customFormat="1" ht="15.95" customHeight="1">
      <c r="A130" s="2110"/>
      <c r="B130" s="2152"/>
      <c r="C130" s="2139" t="s">
        <v>4974</v>
      </c>
      <c r="F130" s="2110"/>
      <c r="I130" s="2110"/>
      <c r="J130" s="2017" t="s">
        <v>5161</v>
      </c>
      <c r="K130" s="2139"/>
      <c r="L130" s="2144" t="str">
        <f t="shared" si="1"/>
        <v/>
      </c>
      <c r="M130" s="2212">
        <v>1</v>
      </c>
      <c r="N130" s="2145"/>
      <c r="O130" s="2000">
        <v>1</v>
      </c>
      <c r="P130" s="2239"/>
      <c r="Q130" s="2148"/>
      <c r="V130" s="2138"/>
      <c r="AM130" s="2492">
        <v>130</v>
      </c>
    </row>
    <row r="131" spans="1:39" s="2107" customFormat="1" ht="15.95" customHeight="1">
      <c r="A131" s="2110"/>
      <c r="B131" s="2149"/>
      <c r="C131" s="2139" t="s">
        <v>4895</v>
      </c>
      <c r="F131" s="2110"/>
      <c r="I131" s="2110"/>
      <c r="J131" s="2017" t="s">
        <v>5161</v>
      </c>
      <c r="K131" s="2139"/>
      <c r="L131" s="2144" t="str">
        <f t="shared" si="1"/>
        <v/>
      </c>
      <c r="M131" s="2212">
        <v>1</v>
      </c>
      <c r="N131" s="2145"/>
      <c r="O131" s="2000">
        <v>1</v>
      </c>
      <c r="P131" s="2239"/>
      <c r="Q131" s="2148"/>
      <c r="V131" s="2138"/>
      <c r="AM131" s="2492">
        <v>131</v>
      </c>
    </row>
    <row r="132" spans="1:39" s="2107" customFormat="1" ht="15.95" customHeight="1">
      <c r="A132" s="2110"/>
      <c r="B132" s="2152"/>
      <c r="C132" s="2139" t="s">
        <v>4975</v>
      </c>
      <c r="F132" s="2110"/>
      <c r="I132" s="2110"/>
      <c r="J132" s="2017" t="s">
        <v>905</v>
      </c>
      <c r="K132" s="2139"/>
      <c r="L132" s="2144" t="str">
        <f t="shared" si="1"/>
        <v/>
      </c>
      <c r="M132" s="2212">
        <v>1</v>
      </c>
      <c r="N132" s="2145"/>
      <c r="O132" s="2001">
        <v>1</v>
      </c>
      <c r="P132" s="2237"/>
      <c r="Q132" s="2148"/>
      <c r="V132" s="2138"/>
      <c r="AM132" s="2493">
        <v>132</v>
      </c>
    </row>
    <row r="133" spans="1:39" s="2107" customFormat="1" ht="15.95" customHeight="1">
      <c r="A133" s="2110" t="s">
        <v>1838</v>
      </c>
      <c r="B133" s="2118" t="s">
        <v>4892</v>
      </c>
      <c r="H133" s="2145"/>
      <c r="I133" s="2104"/>
      <c r="J133" s="2104"/>
      <c r="K133" s="2104"/>
      <c r="L133" s="2104"/>
      <c r="M133" s="2109"/>
      <c r="N133" s="2109"/>
      <c r="O133" s="2109"/>
      <c r="P133" s="2109"/>
      <c r="Q133" s="2109"/>
      <c r="R133" s="2148"/>
      <c r="AM133" s="2493">
        <v>133</v>
      </c>
    </row>
    <row r="134" spans="1:39" ht="282.75" customHeight="1">
      <c r="B134" s="3854"/>
      <c r="C134" s="3855"/>
      <c r="D134" s="3855"/>
      <c r="E134" s="3855"/>
      <c r="F134" s="3855"/>
      <c r="G134" s="3855"/>
      <c r="H134" s="3855"/>
      <c r="I134" s="3855"/>
      <c r="J134" s="3855"/>
      <c r="K134" s="3855"/>
      <c r="L134" s="3855"/>
      <c r="M134" s="3855"/>
      <c r="N134" s="3855"/>
      <c r="O134" s="3855"/>
      <c r="P134" s="3856"/>
      <c r="Q134" s="2190"/>
      <c r="R134" s="2190"/>
      <c r="AM134" s="2493">
        <v>134</v>
      </c>
    </row>
    <row r="135" spans="1:39" ht="15.95" customHeight="1">
      <c r="A135" s="2107"/>
      <c r="B135" s="2129" t="s">
        <v>4847</v>
      </c>
      <c r="C135" s="2107"/>
      <c r="D135" s="2107"/>
      <c r="E135" s="2107"/>
      <c r="F135" s="2107"/>
      <c r="G135" s="2107"/>
      <c r="H135" s="2107"/>
      <c r="I135" s="2107"/>
      <c r="J135" s="2107"/>
      <c r="K135" s="2107"/>
      <c r="M135" s="2109"/>
      <c r="O135" s="2120"/>
      <c r="AM135" s="2493">
        <v>135</v>
      </c>
    </row>
    <row r="136" spans="1:39" ht="15.95" customHeight="1">
      <c r="A136" s="3830"/>
      <c r="B136" s="3831"/>
      <c r="C136" s="3831"/>
      <c r="D136" s="3831"/>
      <c r="E136" s="3831"/>
      <c r="F136" s="3831"/>
      <c r="G136" s="3831"/>
      <c r="H136" s="3831"/>
      <c r="I136" s="3831"/>
      <c r="J136" s="3831"/>
      <c r="K136" s="3831"/>
      <c r="L136" s="3831"/>
      <c r="M136" s="3831"/>
      <c r="N136" s="3831"/>
      <c r="O136" s="3831"/>
      <c r="P136" s="3832"/>
      <c r="Q136" s="2190"/>
      <c r="R136" s="2190"/>
      <c r="AM136" s="2492">
        <v>136</v>
      </c>
    </row>
    <row r="137" spans="1:39" s="2107" customFormat="1" ht="15.95" customHeight="1">
      <c r="A137" s="2129"/>
      <c r="B137" s="2129" t="s">
        <v>1725</v>
      </c>
      <c r="D137" s="2129"/>
      <c r="E137" s="2157"/>
      <c r="F137" s="2157"/>
      <c r="G137" s="2157"/>
      <c r="H137" s="2157"/>
      <c r="I137" s="2157"/>
      <c r="J137" s="2157"/>
      <c r="K137" s="2157"/>
      <c r="L137" s="2157"/>
      <c r="M137" s="2157"/>
      <c r="N137" s="2220"/>
      <c r="O137" s="2135"/>
      <c r="P137" s="2110"/>
      <c r="AM137" s="2493">
        <v>137</v>
      </c>
    </row>
    <row r="138" spans="1:39" ht="15.95" customHeight="1">
      <c r="A138" s="3806"/>
      <c r="B138" s="3807"/>
      <c r="C138" s="3807"/>
      <c r="D138" s="3807"/>
      <c r="E138" s="3807"/>
      <c r="F138" s="3807"/>
      <c r="G138" s="3807"/>
      <c r="H138" s="3807"/>
      <c r="I138" s="3807"/>
      <c r="J138" s="3807"/>
      <c r="K138" s="3807"/>
      <c r="L138" s="3807"/>
      <c r="M138" s="3807"/>
      <c r="N138" s="3807"/>
      <c r="O138" s="3807"/>
      <c r="P138" s="3808"/>
      <c r="Q138" s="2190"/>
      <c r="R138" s="2190"/>
      <c r="AM138" s="2492">
        <v>138</v>
      </c>
    </row>
    <row r="139" spans="1:39" ht="9" customHeight="1">
      <c r="A139" s="2221"/>
      <c r="B139" s="2107"/>
      <c r="C139" s="2159"/>
      <c r="D139" s="2159"/>
      <c r="E139" s="2159"/>
      <c r="F139" s="2159"/>
      <c r="G139" s="2159"/>
      <c r="H139" s="2159"/>
      <c r="I139" s="2159"/>
      <c r="J139" s="2159"/>
      <c r="K139" s="2159"/>
      <c r="L139" s="2159"/>
      <c r="M139" s="2159"/>
      <c r="N139" s="2171"/>
      <c r="O139" s="2172"/>
      <c r="P139" s="2110"/>
      <c r="AM139" s="2492">
        <v>139</v>
      </c>
    </row>
    <row r="140" spans="1:39" ht="9" customHeight="1" thickBot="1">
      <c r="D140" s="2107"/>
      <c r="E140" s="2107"/>
      <c r="F140" s="2110"/>
      <c r="G140" s="2110"/>
      <c r="H140" s="2110"/>
      <c r="I140" s="2110"/>
      <c r="J140" s="2139"/>
      <c r="K140" s="2139"/>
      <c r="L140" s="2139"/>
      <c r="M140" s="2109"/>
      <c r="N140" s="2110"/>
      <c r="P140" s="2120"/>
      <c r="AM140" s="2492">
        <v>140</v>
      </c>
    </row>
    <row r="141" spans="1:39" s="2107" customFormat="1" ht="15.95" customHeight="1" thickBot="1">
      <c r="A141" s="2130" t="s">
        <v>400</v>
      </c>
      <c r="B141" s="2131" t="s">
        <v>3064</v>
      </c>
      <c r="G141" s="2118"/>
      <c r="I141" s="2118"/>
      <c r="J141" s="2177"/>
      <c r="K141" s="2242" t="s">
        <v>4943</v>
      </c>
      <c r="L141" s="2140" t="s">
        <v>4896</v>
      </c>
      <c r="M141" s="2110">
        <v>3</v>
      </c>
      <c r="N141" s="2109"/>
      <c r="O141" s="2141">
        <f>MIN($M$141,O143+O147)</f>
        <v>2</v>
      </c>
      <c r="P141" s="2141">
        <f>MIN($M$141,P143+P147)</f>
        <v>0</v>
      </c>
      <c r="Q141" s="2142" t="s">
        <v>415</v>
      </c>
      <c r="R141" s="2110" t="str">
        <f>$O$12</f>
        <v>9%</v>
      </c>
      <c r="S141" s="2191"/>
      <c r="AM141" s="2492">
        <v>141</v>
      </c>
    </row>
    <row r="142" spans="1:39" ht="15.95" hidden="1" customHeight="1">
      <c r="A142" s="2243"/>
      <c r="B142" s="2244"/>
      <c r="E142" s="2107"/>
      <c r="F142" s="2106" t="s">
        <v>3695</v>
      </c>
      <c r="G142" s="2191"/>
      <c r="H142" s="2107"/>
      <c r="I142" s="2131"/>
      <c r="K142" s="2140"/>
      <c r="L142" s="2245"/>
      <c r="M142" s="2110"/>
      <c r="N142" s="2109"/>
      <c r="O142" s="2120"/>
      <c r="P142" s="2120"/>
      <c r="Q142" s="2142"/>
      <c r="R142" s="2144"/>
      <c r="AM142" s="2493">
        <v>142</v>
      </c>
    </row>
    <row r="143" spans="1:39" s="2107" customFormat="1" ht="15.95" customHeight="1">
      <c r="A143" s="2110" t="s">
        <v>1836</v>
      </c>
      <c r="B143" s="2238" t="s">
        <v>4711</v>
      </c>
      <c r="C143" s="2125"/>
      <c r="D143" s="2125"/>
      <c r="E143" s="2125"/>
      <c r="F143" s="2125"/>
      <c r="G143" s="2246"/>
      <c r="H143" s="2106" t="s">
        <v>4542</v>
      </c>
      <c r="J143" s="2247" t="str">
        <f>'Part V-Revenues &amp; Expenses'!$O$53</f>
        <v>40% of Units at 60% of AMI</v>
      </c>
      <c r="L143" s="2125"/>
      <c r="M143" s="2110">
        <v>2</v>
      </c>
      <c r="N143" s="2189"/>
      <c r="O143" s="2248">
        <f>IF($O$12="9%",MIN($M143,O144+O145),0)</f>
        <v>2</v>
      </c>
      <c r="P143" s="2248">
        <f>IF($O$12="9%",MIN($M143,P144+P145),0)</f>
        <v>0</v>
      </c>
      <c r="AM143" s="2493">
        <v>143</v>
      </c>
    </row>
    <row r="144" spans="1:39" s="2107" customFormat="1" ht="15.95" customHeight="1">
      <c r="A144" s="2110"/>
      <c r="B144" s="2149" t="s">
        <v>1839</v>
      </c>
      <c r="C144" s="1999" t="s">
        <v>3690</v>
      </c>
      <c r="H144" s="2107" t="s">
        <v>3691</v>
      </c>
      <c r="I144" s="2249"/>
      <c r="K144" s="2250">
        <f>'Part V-Revenues &amp; Expenses'!$B$50</f>
        <v>57.833333333333336</v>
      </c>
      <c r="L144" s="2144" t="str">
        <f t="shared" ref="L144:L145" si="2">IF(OR($O144=$M144,$O144=0,$O144=""),"","* * Check Score! * *")</f>
        <v/>
      </c>
      <c r="M144" s="2109">
        <v>2</v>
      </c>
      <c r="N144" s="2150"/>
      <c r="O144" s="2000"/>
      <c r="P144" s="2236"/>
      <c r="Q144" s="2235" t="str">
        <f>IF(OR($O144=$M144,$O144=0,$O144=""),"","*CHECK!*")</f>
        <v/>
      </c>
      <c r="R144" s="2148"/>
      <c r="AM144" s="2493">
        <v>144</v>
      </c>
    </row>
    <row r="145" spans="1:39" s="2107" customFormat="1" ht="15.95" customHeight="1">
      <c r="A145" s="2177"/>
      <c r="B145" s="2152" t="s">
        <v>1841</v>
      </c>
      <c r="C145" s="1999" t="s">
        <v>3692</v>
      </c>
      <c r="I145" s="2249"/>
      <c r="K145" s="2132"/>
      <c r="L145" s="2144" t="str">
        <f t="shared" si="2"/>
        <v/>
      </c>
      <c r="M145" s="2109">
        <v>2</v>
      </c>
      <c r="N145" s="2150"/>
      <c r="O145" s="2001">
        <v>2</v>
      </c>
      <c r="P145" s="2237"/>
      <c r="Q145" s="2235" t="str">
        <f>IF(OR($O145=$M145,$O145=0,$O145=""),"","*CHECK!*")</f>
        <v/>
      </c>
      <c r="R145" s="2148"/>
      <c r="AM145" s="2493">
        <v>145</v>
      </c>
    </row>
    <row r="146" spans="1:39" ht="15.95" hidden="1" customHeight="1">
      <c r="A146" s="2177"/>
      <c r="B146" s="2251"/>
      <c r="C146" s="1998"/>
      <c r="D146" s="2162"/>
      <c r="K146" s="2252"/>
      <c r="L146" s="2252"/>
      <c r="M146" s="2109"/>
      <c r="N146" s="2189"/>
      <c r="O146" s="2382"/>
      <c r="P146" s="2460"/>
      <c r="AM146" s="2492">
        <v>146</v>
      </c>
    </row>
    <row r="147" spans="1:39" ht="15.95" customHeight="1">
      <c r="A147" s="2110" t="s">
        <v>1838</v>
      </c>
      <c r="B147" s="2238" t="s">
        <v>4714</v>
      </c>
      <c r="H147" s="2253" t="s">
        <v>4695</v>
      </c>
      <c r="I147" s="2254"/>
      <c r="K147" s="2255">
        <f>IF(OR('Part V-Revenues &amp; Expenses'!$P$65="", 'Part V-Revenues &amp; Expenses'!$P$65=0),0,'Part V-Revenues &amp; Expenses'!$P$100/'Part V-Revenues &amp; Expenses'!$P$65)</f>
        <v>0</v>
      </c>
      <c r="M147" s="2110">
        <v>3</v>
      </c>
      <c r="N147" s="2164"/>
      <c r="O147" s="2010"/>
      <c r="P147" s="2227"/>
      <c r="AM147" s="2493">
        <v>147</v>
      </c>
    </row>
    <row r="148" spans="1:39" ht="15.95" customHeight="1">
      <c r="A148" s="2107"/>
      <c r="B148" s="2218" t="s">
        <v>1725</v>
      </c>
      <c r="D148" s="2168"/>
      <c r="E148" s="2159"/>
      <c r="F148" s="2159"/>
      <c r="G148" s="2159"/>
      <c r="H148" s="2159"/>
      <c r="I148" s="2159"/>
      <c r="J148" s="2159"/>
      <c r="K148" s="2159"/>
      <c r="L148" s="2159"/>
      <c r="M148" s="2159"/>
      <c r="N148" s="2171"/>
      <c r="O148" s="2172"/>
      <c r="P148" s="2110"/>
      <c r="AM148" s="2492">
        <v>148</v>
      </c>
    </row>
    <row r="149" spans="1:39" ht="15.95" customHeight="1">
      <c r="A149" s="3806"/>
      <c r="B149" s="3807"/>
      <c r="C149" s="3807"/>
      <c r="D149" s="3807"/>
      <c r="E149" s="3807"/>
      <c r="F149" s="3807"/>
      <c r="G149" s="3807"/>
      <c r="H149" s="3807"/>
      <c r="I149" s="3807"/>
      <c r="J149" s="3807"/>
      <c r="K149" s="3807"/>
      <c r="L149" s="3807"/>
      <c r="M149" s="3807"/>
      <c r="N149" s="3807"/>
      <c r="O149" s="3807"/>
      <c r="P149" s="3808"/>
      <c r="Q149" s="2173"/>
      <c r="AM149" s="2492">
        <v>149</v>
      </c>
    </row>
    <row r="150" spans="1:39" ht="9.75" customHeight="1">
      <c r="A150" s="2107"/>
      <c r="B150" s="2126"/>
      <c r="C150" s="2107"/>
      <c r="D150" s="1996"/>
      <c r="E150" s="1997"/>
      <c r="F150" s="1997"/>
      <c r="G150" s="2136"/>
      <c r="H150" s="2136"/>
      <c r="I150" s="2136"/>
      <c r="J150" s="2136"/>
      <c r="K150" s="2136"/>
      <c r="L150" s="2136"/>
      <c r="M150" s="2109"/>
      <c r="O150" s="2120"/>
      <c r="P150" s="2110"/>
      <c r="R150" s="2107"/>
      <c r="S150" s="2107"/>
      <c r="T150" s="2107"/>
      <c r="U150" s="2107"/>
      <c r="V150" s="2107"/>
      <c r="W150" s="2107"/>
      <c r="X150" s="2137"/>
      <c r="Y150" s="2137"/>
      <c r="Z150" s="2137"/>
      <c r="AA150" s="2137"/>
      <c r="AB150" s="2137"/>
      <c r="AC150" s="2137"/>
      <c r="AD150" s="2137"/>
      <c r="AE150" s="2137"/>
      <c r="AF150" s="2137"/>
      <c r="AG150" s="2137"/>
      <c r="AH150" s="2137"/>
      <c r="AI150" s="2137"/>
      <c r="AM150" s="2492">
        <v>150</v>
      </c>
    </row>
    <row r="151" spans="1:39" ht="9.75" customHeight="1">
      <c r="T151" s="2138"/>
      <c r="U151" s="2138"/>
      <c r="AM151" s="2492">
        <v>151</v>
      </c>
    </row>
    <row r="152" spans="1:39" s="2107" customFormat="1" ht="15.95" customHeight="1">
      <c r="A152" s="2221" t="s">
        <v>342</v>
      </c>
      <c r="B152" s="2131" t="s">
        <v>4849</v>
      </c>
      <c r="D152" s="2131"/>
      <c r="E152" s="2131"/>
      <c r="L152" s="2256"/>
      <c r="M152" s="2110">
        <v>2</v>
      </c>
      <c r="N152" s="2109"/>
      <c r="O152" s="2155">
        <f>IF(O153="Yes",$M$152,0)</f>
        <v>2</v>
      </c>
      <c r="P152" s="2155">
        <f>IF(P153="Yes",$M$152,0)</f>
        <v>0</v>
      </c>
      <c r="Q152" s="2142" t="s">
        <v>415</v>
      </c>
      <c r="R152" s="2110"/>
      <c r="AM152" s="2493">
        <v>152</v>
      </c>
    </row>
    <row r="153" spans="1:39" ht="15.95" customHeight="1">
      <c r="B153" s="2312" t="s">
        <v>4976</v>
      </c>
      <c r="C153" s="2107"/>
      <c r="D153" s="2107"/>
      <c r="E153" s="2107"/>
      <c r="F153" s="2107"/>
      <c r="G153" s="2107"/>
      <c r="H153" s="2107"/>
      <c r="I153" s="2107"/>
      <c r="J153" s="2107"/>
      <c r="K153" s="2107"/>
      <c r="M153" s="2109"/>
      <c r="O153" s="2014" t="s">
        <v>2641</v>
      </c>
      <c r="P153" s="2295"/>
      <c r="AM153" s="2493">
        <v>153</v>
      </c>
    </row>
    <row r="154" spans="1:39" ht="15.95" customHeight="1">
      <c r="A154" s="2107"/>
      <c r="B154" s="2129" t="s">
        <v>4847</v>
      </c>
      <c r="C154" s="2107"/>
      <c r="D154" s="2107"/>
      <c r="E154" s="2107"/>
      <c r="F154" s="2107"/>
      <c r="G154" s="2107"/>
      <c r="H154" s="2107"/>
      <c r="I154" s="2107"/>
      <c r="J154" s="2107"/>
      <c r="K154" s="2107"/>
      <c r="M154" s="2109"/>
      <c r="O154" s="2120"/>
      <c r="AM154" s="2493">
        <v>154</v>
      </c>
    </row>
    <row r="155" spans="1:39" ht="15.95" customHeight="1">
      <c r="A155" s="3830"/>
      <c r="B155" s="3831"/>
      <c r="C155" s="3831"/>
      <c r="D155" s="3831"/>
      <c r="E155" s="3831"/>
      <c r="F155" s="3831"/>
      <c r="G155" s="3831"/>
      <c r="H155" s="3831"/>
      <c r="I155" s="3831"/>
      <c r="J155" s="3831"/>
      <c r="K155" s="3831"/>
      <c r="L155" s="3831"/>
      <c r="M155" s="3831"/>
      <c r="N155" s="3831"/>
      <c r="O155" s="3831"/>
      <c r="P155" s="3832"/>
      <c r="Q155" s="2190"/>
      <c r="R155" s="2190"/>
      <c r="AM155" s="2493">
        <v>155</v>
      </c>
    </row>
    <row r="156" spans="1:39" s="2107" customFormat="1" ht="15.95" customHeight="1">
      <c r="A156" s="2129"/>
      <c r="B156" s="2129" t="s">
        <v>1725</v>
      </c>
      <c r="D156" s="2129"/>
      <c r="E156" s="2157"/>
      <c r="F156" s="2157"/>
      <c r="G156" s="2157"/>
      <c r="H156" s="2157"/>
      <c r="I156" s="2157"/>
      <c r="J156" s="2157"/>
      <c r="K156" s="2157"/>
      <c r="L156" s="2157"/>
      <c r="M156" s="2157"/>
      <c r="N156" s="2220"/>
      <c r="O156" s="2135"/>
      <c r="P156" s="2110"/>
      <c r="AM156" s="2492">
        <v>156</v>
      </c>
    </row>
    <row r="157" spans="1:39" ht="15.95" customHeight="1">
      <c r="A157" s="3806"/>
      <c r="B157" s="3807"/>
      <c r="C157" s="3807"/>
      <c r="D157" s="3807"/>
      <c r="E157" s="3807"/>
      <c r="F157" s="3807"/>
      <c r="G157" s="3807"/>
      <c r="H157" s="3807"/>
      <c r="I157" s="3807"/>
      <c r="J157" s="3807"/>
      <c r="K157" s="3807"/>
      <c r="L157" s="3807"/>
      <c r="M157" s="3807"/>
      <c r="N157" s="3807"/>
      <c r="O157" s="3807"/>
      <c r="P157" s="3808"/>
      <c r="Q157" s="2190"/>
      <c r="R157" s="2190"/>
      <c r="AM157" s="2493">
        <v>157</v>
      </c>
    </row>
    <row r="158" spans="1:39" ht="9" customHeight="1">
      <c r="A158" s="2221"/>
      <c r="B158" s="2107"/>
      <c r="C158" s="2159"/>
      <c r="D158" s="2159"/>
      <c r="E158" s="2159"/>
      <c r="F158" s="2159"/>
      <c r="G158" s="2159"/>
      <c r="H158" s="2159"/>
      <c r="I158" s="2159"/>
      <c r="J158" s="2159"/>
      <c r="K158" s="2159"/>
      <c r="L158" s="2159"/>
      <c r="M158" s="2159"/>
      <c r="N158" s="2171"/>
      <c r="O158" s="2172"/>
      <c r="P158" s="2110"/>
      <c r="AM158" s="2492">
        <v>158</v>
      </c>
    </row>
    <row r="159" spans="1:39" ht="9" customHeight="1" thickBot="1">
      <c r="AM159" s="2492">
        <v>159</v>
      </c>
    </row>
    <row r="160" spans="1:39" ht="15.95" customHeight="1" thickBot="1">
      <c r="A160" s="2130" t="s">
        <v>343</v>
      </c>
      <c r="B160" s="2131" t="s">
        <v>3281</v>
      </c>
      <c r="L160" s="2140" t="s">
        <v>4896</v>
      </c>
      <c r="M160" s="2110">
        <v>20</v>
      </c>
      <c r="N160" s="2145"/>
      <c r="O160" s="2210">
        <f>IF(NOT($F$12="New Affordability"),0,IF(OR($M161-O162&lt;0,O161-O162&lt;0),0,IF(O161&lt;=$M161,O161-O162,IF(O161&gt;$M161,$M161-O162,0))))</f>
        <v>20</v>
      </c>
      <c r="P160" s="2210">
        <f>IF(NOT($H$12="New Affordability"),0,IF(OR($M161-P162&lt;0,P161-P162&lt;0),0,IF(P161&lt;=$M161,P161-P162,IF(P161&gt;$M161,$M161-P162,0))))</f>
        <v>0</v>
      </c>
      <c r="Q160" s="2142" t="s">
        <v>415</v>
      </c>
      <c r="R160" s="2110" t="str">
        <f>$O$12</f>
        <v>9%</v>
      </c>
      <c r="AM160" s="2492">
        <v>160</v>
      </c>
    </row>
    <row r="161" spans="1:39" s="2107" customFormat="1" ht="15.95" customHeight="1">
      <c r="A161" s="2110" t="s">
        <v>1836</v>
      </c>
      <c r="B161" s="2118" t="s">
        <v>1732</v>
      </c>
      <c r="C161" s="2118"/>
      <c r="D161" s="2118"/>
      <c r="F161" s="2118"/>
      <c r="H161" s="2145"/>
      <c r="I161" s="2104"/>
      <c r="J161" s="2104"/>
      <c r="K161" s="2104"/>
      <c r="L161" s="2144" t="str">
        <f t="shared" ref="L161" si="3">IF(OR($O161=$M161,$O161=0,$O161=""),"","* * Check Score! * *")</f>
        <v/>
      </c>
      <c r="M161" s="2109">
        <v>20</v>
      </c>
      <c r="N161" s="2150"/>
      <c r="O161" s="2039">
        <v>20</v>
      </c>
      <c r="P161" s="2259"/>
      <c r="Q161" s="2235"/>
      <c r="R161" s="2148"/>
      <c r="AM161" s="2492">
        <v>161</v>
      </c>
    </row>
    <row r="162" spans="1:39" s="2107" customFormat="1" ht="15.95" customHeight="1">
      <c r="A162" s="2110" t="s">
        <v>1838</v>
      </c>
      <c r="B162" s="2118" t="s">
        <v>3197</v>
      </c>
      <c r="H162" s="2145"/>
      <c r="I162" s="2104"/>
      <c r="J162" s="2104"/>
      <c r="K162" s="2224"/>
      <c r="L162" s="2104"/>
      <c r="M162" s="2109" t="s">
        <v>1163</v>
      </c>
      <c r="N162" s="2145"/>
      <c r="O162" s="2039"/>
      <c r="P162" s="2259"/>
      <c r="R162" s="2148"/>
      <c r="AM162" s="2492">
        <v>162</v>
      </c>
    </row>
    <row r="163" spans="1:39" ht="15.95" customHeight="1">
      <c r="A163" s="2107"/>
      <c r="B163" s="2129" t="s">
        <v>4847</v>
      </c>
      <c r="C163" s="2107"/>
      <c r="D163" s="2107"/>
      <c r="E163" s="2107"/>
      <c r="F163" s="2107"/>
      <c r="G163" s="2107"/>
      <c r="H163" s="2107"/>
      <c r="I163" s="2107"/>
      <c r="J163" s="2107"/>
      <c r="K163" s="2107"/>
      <c r="M163" s="2109"/>
      <c r="O163" s="2120"/>
      <c r="AM163" s="2492">
        <v>163</v>
      </c>
    </row>
    <row r="164" spans="1:39" ht="15.95" customHeight="1">
      <c r="A164" s="3830" t="s">
        <v>5162</v>
      </c>
      <c r="B164" s="3831"/>
      <c r="C164" s="3831"/>
      <c r="D164" s="3831"/>
      <c r="E164" s="3831"/>
      <c r="F164" s="3831"/>
      <c r="G164" s="3831"/>
      <c r="H164" s="3831"/>
      <c r="I164" s="3831"/>
      <c r="J164" s="3831"/>
      <c r="K164" s="3831"/>
      <c r="L164" s="3831"/>
      <c r="M164" s="3831"/>
      <c r="N164" s="3831"/>
      <c r="O164" s="3831"/>
      <c r="P164" s="3832"/>
      <c r="Q164" s="2190"/>
      <c r="R164" s="2190"/>
      <c r="AM164" s="2493">
        <v>164</v>
      </c>
    </row>
    <row r="165" spans="1:39" ht="15.95" customHeight="1">
      <c r="A165" s="2107"/>
      <c r="B165" s="2129" t="s">
        <v>1725</v>
      </c>
      <c r="C165" s="2107"/>
      <c r="D165" s="2260"/>
      <c r="E165" s="2159"/>
      <c r="F165" s="2159"/>
      <c r="G165" s="2159"/>
      <c r="H165" s="2159"/>
      <c r="I165" s="2159"/>
      <c r="J165" s="2159"/>
      <c r="K165" s="2159"/>
      <c r="L165" s="2159"/>
      <c r="M165" s="2159"/>
      <c r="N165" s="2171"/>
      <c r="O165" s="2172"/>
      <c r="P165" s="2110"/>
      <c r="AM165" s="2493">
        <v>165</v>
      </c>
    </row>
    <row r="166" spans="1:39" ht="15.95" customHeight="1">
      <c r="A166" s="3806"/>
      <c r="B166" s="3807"/>
      <c r="C166" s="3807"/>
      <c r="D166" s="3807"/>
      <c r="E166" s="3807"/>
      <c r="F166" s="3807"/>
      <c r="G166" s="3807"/>
      <c r="H166" s="3807"/>
      <c r="I166" s="3807"/>
      <c r="J166" s="3807"/>
      <c r="K166" s="3807"/>
      <c r="L166" s="3807"/>
      <c r="M166" s="3807"/>
      <c r="N166" s="3807"/>
      <c r="O166" s="3807"/>
      <c r="P166" s="3808"/>
      <c r="Q166" s="2173"/>
      <c r="R166" s="2190"/>
      <c r="AM166" s="2492">
        <v>166</v>
      </c>
    </row>
    <row r="167" spans="1:39" ht="9.75" customHeight="1">
      <c r="A167" s="2107"/>
      <c r="B167" s="2126"/>
      <c r="C167" s="2107"/>
      <c r="D167" s="1996"/>
      <c r="E167" s="1997"/>
      <c r="F167" s="1997"/>
      <c r="G167" s="2136"/>
      <c r="H167" s="2136"/>
      <c r="I167" s="2136"/>
      <c r="J167" s="2136"/>
      <c r="K167" s="2136"/>
      <c r="L167" s="2136"/>
      <c r="M167" s="2109"/>
      <c r="O167" s="2120"/>
      <c r="P167" s="2110"/>
      <c r="R167" s="2107"/>
      <c r="S167" s="2107"/>
      <c r="T167" s="2107"/>
      <c r="U167" s="2107"/>
      <c r="V167" s="2107"/>
      <c r="W167" s="2107"/>
      <c r="X167" s="2137"/>
      <c r="Y167" s="2137"/>
      <c r="Z167" s="2137"/>
      <c r="AA167" s="2137"/>
      <c r="AB167" s="2137"/>
      <c r="AC167" s="2137"/>
      <c r="AD167" s="2137"/>
      <c r="AE167" s="2137"/>
      <c r="AF167" s="2137"/>
      <c r="AG167" s="2137"/>
      <c r="AH167" s="2137"/>
      <c r="AI167" s="2137"/>
      <c r="AM167" s="2492">
        <v>167</v>
      </c>
    </row>
    <row r="168" spans="1:39" ht="9.75" customHeight="1" thickBot="1">
      <c r="T168" s="2138"/>
      <c r="U168" s="2138"/>
      <c r="AM168" s="2493">
        <v>168</v>
      </c>
    </row>
    <row r="169" spans="1:39" ht="15.95" customHeight="1" thickBot="1">
      <c r="A169" s="2130" t="s">
        <v>344</v>
      </c>
      <c r="B169" s="2131" t="s">
        <v>2407</v>
      </c>
      <c r="H169" s="2261"/>
      <c r="I169" s="2238"/>
      <c r="J169" s="2177"/>
      <c r="K169" s="2110"/>
      <c r="L169" s="2140" t="s">
        <v>4896</v>
      </c>
      <c r="M169" s="2110">
        <v>6</v>
      </c>
      <c r="N169" s="2145"/>
      <c r="O169" s="2210">
        <f>IF($F$12="New Affordability",MAX(O177,O180),0)</f>
        <v>2</v>
      </c>
      <c r="P169" s="2210">
        <f>IF($H$12="New Affordability",MAX(P177,P180),0)</f>
        <v>0</v>
      </c>
      <c r="Q169" s="2142" t="s">
        <v>415</v>
      </c>
      <c r="R169" s="2110" t="str">
        <f>$O$12</f>
        <v>9%</v>
      </c>
      <c r="AM169" s="2493">
        <v>169</v>
      </c>
    </row>
    <row r="170" spans="1:39" ht="15.95" hidden="1" customHeight="1">
      <c r="A170" s="2130"/>
      <c r="B170" s="2131"/>
      <c r="H170" s="2131"/>
      <c r="I170" s="2129"/>
      <c r="J170" s="2107"/>
      <c r="K170" s="2107"/>
      <c r="M170" s="2110"/>
      <c r="N170" s="2145"/>
      <c r="O170" s="2120"/>
      <c r="P170" s="2120"/>
      <c r="Q170" s="2142"/>
      <c r="AM170" s="2493">
        <v>170</v>
      </c>
    </row>
    <row r="171" spans="1:39" ht="15.95" customHeight="1">
      <c r="A171" s="2130"/>
      <c r="B171" s="2107" t="s">
        <v>3240</v>
      </c>
      <c r="F171" s="3860" t="s">
        <v>3131</v>
      </c>
      <c r="G171" s="3860"/>
      <c r="H171" s="3860"/>
      <c r="I171" s="3860"/>
      <c r="J171" s="3860" t="s">
        <v>3132</v>
      </c>
      <c r="K171" s="3860"/>
      <c r="L171" s="3860"/>
      <c r="M171" s="3860"/>
      <c r="N171" s="2145"/>
      <c r="O171" s="3861" t="s">
        <v>4696</v>
      </c>
      <c r="P171" s="3861"/>
      <c r="AM171" s="2493">
        <v>171</v>
      </c>
    </row>
    <row r="172" spans="1:39" ht="15.95" customHeight="1">
      <c r="B172" s="2262"/>
      <c r="C172" s="2263" t="s">
        <v>4697</v>
      </c>
      <c r="F172" s="3863" t="s">
        <v>5163</v>
      </c>
      <c r="G172" s="3864"/>
      <c r="H172" s="3865"/>
      <c r="I172" s="3866"/>
      <c r="J172" s="3863" t="s">
        <v>5164</v>
      </c>
      <c r="K172" s="3864"/>
      <c r="L172" s="3865"/>
      <c r="M172" s="3866"/>
      <c r="N172" s="2106"/>
      <c r="O172" s="3862"/>
      <c r="P172" s="3862"/>
      <c r="AM172" s="2492">
        <v>172</v>
      </c>
    </row>
    <row r="173" spans="1:39" ht="15.95" customHeight="1">
      <c r="A173" s="2262"/>
      <c r="B173" s="2264"/>
      <c r="C173" s="2263" t="s">
        <v>4698</v>
      </c>
      <c r="F173" s="3868" t="s">
        <v>5166</v>
      </c>
      <c r="G173" s="3869"/>
      <c r="H173" s="3870"/>
      <c r="I173" s="3871"/>
      <c r="J173" s="3868" t="s">
        <v>5165</v>
      </c>
      <c r="K173" s="3869"/>
      <c r="L173" s="3870"/>
      <c r="M173" s="3871"/>
      <c r="N173" s="2145"/>
      <c r="O173" s="2006">
        <v>0.3</v>
      </c>
      <c r="P173" s="2265"/>
      <c r="AM173" s="2493">
        <v>173</v>
      </c>
    </row>
    <row r="174" spans="1:39" ht="15.95" customHeight="1">
      <c r="A174" s="2264"/>
      <c r="B174" s="3872" t="s">
        <v>4720</v>
      </c>
      <c r="C174" s="3872"/>
      <c r="D174" s="3872"/>
      <c r="E174" s="3872"/>
      <c r="F174" s="2127" t="s">
        <v>4699</v>
      </c>
      <c r="G174" s="3873" t="s">
        <v>1667</v>
      </c>
      <c r="H174" s="3873"/>
      <c r="I174" s="3873"/>
      <c r="J174" s="3873" t="s">
        <v>4717</v>
      </c>
      <c r="K174" s="3873"/>
      <c r="L174" s="3873"/>
      <c r="M174" s="3873"/>
      <c r="N174" s="3873"/>
      <c r="O174" s="3873"/>
      <c r="P174" s="3873"/>
      <c r="AM174" s="2492">
        <v>174</v>
      </c>
    </row>
    <row r="175" spans="1:39" ht="15.95" customHeight="1">
      <c r="A175" s="2264"/>
      <c r="B175" s="3883" t="s">
        <v>5179</v>
      </c>
      <c r="C175" s="3883"/>
      <c r="D175" s="3883"/>
      <c r="E175" s="3883"/>
      <c r="F175" s="2906" t="s">
        <v>5169</v>
      </c>
      <c r="G175" s="3884" t="s">
        <v>5168</v>
      </c>
      <c r="H175" s="3885"/>
      <c r="I175" s="3885"/>
      <c r="J175" s="3884" t="s">
        <v>5167</v>
      </c>
      <c r="K175" s="3885"/>
      <c r="L175" s="3885"/>
      <c r="M175" s="3885"/>
      <c r="N175" s="3885"/>
      <c r="O175" s="3885"/>
      <c r="P175" s="3885"/>
      <c r="AM175" s="2492">
        <v>175</v>
      </c>
    </row>
    <row r="176" spans="1:39" ht="15.95" hidden="1" customHeight="1">
      <c r="A176" s="2128"/>
      <c r="B176" s="2131"/>
      <c r="F176" s="2143"/>
      <c r="M176" s="2110"/>
      <c r="N176" s="2110"/>
      <c r="O176" s="2110"/>
      <c r="P176" s="2110"/>
      <c r="Q176" s="2142"/>
      <c r="R176" s="2180"/>
      <c r="S176" s="2180"/>
      <c r="T176" s="2180"/>
      <c r="U176" s="2180"/>
      <c r="AM176" s="2492">
        <v>176</v>
      </c>
    </row>
    <row r="177" spans="1:39" ht="15.95" customHeight="1">
      <c r="A177" s="2257" t="s">
        <v>1836</v>
      </c>
      <c r="B177" s="2118" t="s">
        <v>3155</v>
      </c>
      <c r="F177" s="2266"/>
      <c r="L177" s="2209" t="s">
        <v>4867</v>
      </c>
      <c r="M177" s="2110">
        <v>6</v>
      </c>
      <c r="N177" s="2189"/>
      <c r="O177" s="2267">
        <f>IF(OR($J$12="Atlanta Metro",$J$12="Other Metro",$J$12="N/A-4%"),MIN($M177,O178+O179),0)</f>
        <v>0</v>
      </c>
      <c r="P177" s="2267">
        <f>IF(OR($L$12="Atlanta Metro",$L$12="Other Metro",$L$12="N/A-4%"),MIN($M177,P178+P179),0)</f>
        <v>0</v>
      </c>
      <c r="Q177" s="2142"/>
      <c r="S177" s="2268" t="s">
        <v>4162</v>
      </c>
      <c r="T177" s="2268" t="s">
        <v>4047</v>
      </c>
      <c r="AM177" s="2492">
        <v>177</v>
      </c>
    </row>
    <row r="178" spans="1:39" s="2162" customFormat="1" ht="29.45" customHeight="1">
      <c r="A178" s="2163"/>
      <c r="B178" s="2152" t="s">
        <v>1839</v>
      </c>
      <c r="C178" s="3802" t="s">
        <v>4712</v>
      </c>
      <c r="D178" s="3802"/>
      <c r="E178" s="3802"/>
      <c r="F178" s="3802"/>
      <c r="G178" s="3802"/>
      <c r="H178" s="3802"/>
      <c r="I178" s="3802"/>
      <c r="J178" s="3802"/>
      <c r="K178" s="3802"/>
      <c r="L178" s="2144" t="str">
        <f t="shared" ref="L178" si="4">IF(OR($O178=$M178,$O178=0,$O178=""),"","* * Check Score! * *")</f>
        <v/>
      </c>
      <c r="M178" s="2163">
        <v>6</v>
      </c>
      <c r="N178" s="2215"/>
      <c r="O178" s="2007">
        <v>0</v>
      </c>
      <c r="P178" s="2269"/>
      <c r="R178" s="3867" t="s">
        <v>4565</v>
      </c>
      <c r="S178" s="2270">
        <v>0.25</v>
      </c>
      <c r="T178" s="2270">
        <v>5</v>
      </c>
      <c r="AM178" s="2492">
        <v>178</v>
      </c>
    </row>
    <row r="179" spans="1:39" s="2162" customFormat="1" ht="15.95" customHeight="1">
      <c r="A179" s="2177" t="s">
        <v>1273</v>
      </c>
      <c r="B179" s="2152" t="s">
        <v>1841</v>
      </c>
      <c r="C179" s="2107" t="s">
        <v>4713</v>
      </c>
      <c r="D179" s="2107"/>
      <c r="E179" s="2107"/>
      <c r="F179" s="2107"/>
      <c r="G179" s="2107"/>
      <c r="H179" s="2107"/>
      <c r="I179" s="2107"/>
      <c r="J179" s="2124"/>
      <c r="K179" s="2124"/>
      <c r="L179" s="2144"/>
      <c r="M179" s="2109">
        <v>5</v>
      </c>
      <c r="N179" s="2217"/>
      <c r="O179" s="2004"/>
      <c r="P179" s="2271"/>
      <c r="R179" s="3867"/>
      <c r="S179" s="2270">
        <v>0.5</v>
      </c>
      <c r="T179" s="2270">
        <v>4.5</v>
      </c>
      <c r="AM179" s="2492">
        <v>179</v>
      </c>
    </row>
    <row r="180" spans="1:39" s="2162" customFormat="1" ht="15.95" customHeight="1">
      <c r="A180" s="2257" t="s">
        <v>1838</v>
      </c>
      <c r="B180" s="2272" t="s">
        <v>3156</v>
      </c>
      <c r="F180" s="2273"/>
      <c r="H180" s="2125"/>
      <c r="I180" s="2125"/>
      <c r="J180" s="2264"/>
      <c r="K180" s="2264"/>
      <c r="L180" s="2274"/>
      <c r="M180" s="2110">
        <v>3</v>
      </c>
      <c r="N180" s="2145"/>
      <c r="O180" s="2248">
        <f>IF(OR(AND(O181&gt;0,O182&gt;0,O183&gt;0), AND(O181&gt;0,O182&gt;0), AND(O182&gt;0,O183&gt;0), AND(O181&gt;0,O183&gt;0)),"Choose", IF(AND(OR($J$12="Atlanta Metro",$J$12="Other Metro",$J$12="N/A-4%"),SUM(O181,O182,O183)&gt;0), MIN($M180,O181+O182), IF(AND(OR($J$12="Rural"),SUM(O181,O182,O183)&gt;0), MIN($M180,O183),0)))</f>
        <v>2</v>
      </c>
      <c r="P180" s="2248">
        <f>IF(OR(AND(P181&gt;0,P182&gt;0,P183&gt;0), AND(P181&gt;0,P182&gt;0), AND(P182&gt;0,P183&gt;0), AND(P181&gt;0,P183&gt;0)),"Choose", IF(AND(OR($L$12="Atlanta Metro",$L$12="Other Metro",$J$12="N/A-4%"),SUM(P181,P182,P183)&gt;0), MIN($M180,P181+P182), IF(AND(OR($J$12="Rural"),SUM(P181,P182,P183)&gt;0), MIN($M180,P183),0)))</f>
        <v>0</v>
      </c>
      <c r="R180" s="3867"/>
      <c r="S180" s="2275">
        <v>1</v>
      </c>
      <c r="T180" s="2275">
        <v>4</v>
      </c>
      <c r="AM180" s="2493">
        <v>180</v>
      </c>
    </row>
    <row r="181" spans="1:39" ht="15.95" customHeight="1">
      <c r="A181" s="2130"/>
      <c r="B181" s="2276" t="s">
        <v>1839</v>
      </c>
      <c r="C181" s="2107" t="s">
        <v>4700</v>
      </c>
      <c r="D181" s="2125"/>
      <c r="E181" s="2125"/>
      <c r="F181" s="2125"/>
      <c r="G181" s="2125"/>
      <c r="H181" s="2125"/>
      <c r="I181" s="2125"/>
      <c r="J181" s="2125"/>
      <c r="K181" s="2125"/>
      <c r="L181" s="2144" t="str">
        <f t="shared" ref="L181:L183" si="5">IF(OR($O181=$M181,$O181=0,$O181=""),"","* * Check Score! * *")</f>
        <v>* * Check Score! * *</v>
      </c>
      <c r="M181" s="2109">
        <v>3</v>
      </c>
      <c r="N181" s="2217"/>
      <c r="O181" s="2008">
        <v>2</v>
      </c>
      <c r="P181" s="2277"/>
      <c r="R181" s="3867" t="s">
        <v>4566</v>
      </c>
      <c r="S181" s="2278">
        <v>0.25</v>
      </c>
      <c r="T181" s="2278">
        <v>3</v>
      </c>
      <c r="U181" s="2162"/>
      <c r="AM181" s="2493">
        <v>181</v>
      </c>
    </row>
    <row r="182" spans="1:39" ht="15.95" customHeight="1">
      <c r="A182" s="2177" t="s">
        <v>1273</v>
      </c>
      <c r="B182" s="2276" t="s">
        <v>1841</v>
      </c>
      <c r="C182" s="2107" t="s">
        <v>4719</v>
      </c>
      <c r="D182" s="2125"/>
      <c r="E182" s="2125"/>
      <c r="F182" s="2125"/>
      <c r="G182" s="2125"/>
      <c r="H182" s="2125"/>
      <c r="I182" s="2125"/>
      <c r="J182" s="2264"/>
      <c r="K182" s="2264"/>
      <c r="L182" s="2144" t="str">
        <f t="shared" si="5"/>
        <v/>
      </c>
      <c r="M182" s="2109">
        <v>1</v>
      </c>
      <c r="N182" s="2217"/>
      <c r="O182" s="2009"/>
      <c r="P182" s="2279"/>
      <c r="R182" s="3867"/>
      <c r="S182" s="2270">
        <v>0.5</v>
      </c>
      <c r="T182" s="2270">
        <v>2</v>
      </c>
      <c r="U182" s="2162"/>
      <c r="AM182" s="2493">
        <v>182</v>
      </c>
    </row>
    <row r="183" spans="1:39" s="2162" customFormat="1" ht="29.25" customHeight="1">
      <c r="A183" s="2280" t="s">
        <v>1273</v>
      </c>
      <c r="B183" s="2276" t="s">
        <v>2326</v>
      </c>
      <c r="C183" s="3802" t="s">
        <v>4718</v>
      </c>
      <c r="D183" s="3802"/>
      <c r="E183" s="3802"/>
      <c r="F183" s="3802"/>
      <c r="G183" s="3802"/>
      <c r="H183" s="3802"/>
      <c r="I183" s="3802"/>
      <c r="J183" s="3802"/>
      <c r="K183" s="3802"/>
      <c r="L183" s="2144" t="str">
        <f t="shared" si="5"/>
        <v/>
      </c>
      <c r="M183" s="2163">
        <v>2</v>
      </c>
      <c r="N183" s="2215"/>
      <c r="O183" s="2040"/>
      <c r="P183" s="2281"/>
      <c r="R183" s="3867"/>
      <c r="S183" s="2275">
        <v>1</v>
      </c>
      <c r="T183" s="2275">
        <v>1</v>
      </c>
      <c r="AM183" s="2492">
        <v>183</v>
      </c>
    </row>
    <row r="184" spans="1:39" ht="15.95" customHeight="1">
      <c r="A184" s="2107"/>
      <c r="B184" s="2129" t="s">
        <v>4847</v>
      </c>
      <c r="C184" s="2107"/>
      <c r="D184" s="2107"/>
      <c r="E184" s="2107"/>
      <c r="F184" s="2107"/>
      <c r="G184" s="2107"/>
      <c r="H184" s="2107"/>
      <c r="I184" s="2107"/>
      <c r="J184" s="2107"/>
      <c r="K184" s="2107"/>
      <c r="M184" s="2109"/>
      <c r="O184" s="2120"/>
      <c r="AM184" s="2492">
        <v>184</v>
      </c>
    </row>
    <row r="185" spans="1:39" ht="15.95" customHeight="1">
      <c r="A185" s="3830" t="s">
        <v>5170</v>
      </c>
      <c r="B185" s="3831"/>
      <c r="C185" s="3831"/>
      <c r="D185" s="3831"/>
      <c r="E185" s="3831"/>
      <c r="F185" s="3831"/>
      <c r="G185" s="3831"/>
      <c r="H185" s="3831"/>
      <c r="I185" s="3831"/>
      <c r="J185" s="3831"/>
      <c r="K185" s="3831"/>
      <c r="L185" s="3831"/>
      <c r="M185" s="3831"/>
      <c r="N185" s="3831"/>
      <c r="O185" s="3831"/>
      <c r="P185" s="3832"/>
      <c r="Q185" s="2190"/>
      <c r="R185" s="2190"/>
      <c r="AM185" s="2493">
        <v>185</v>
      </c>
    </row>
    <row r="186" spans="1:39" s="2107" customFormat="1" ht="15.95" customHeight="1">
      <c r="B186" s="2218" t="s">
        <v>1725</v>
      </c>
      <c r="D186" s="2218"/>
      <c r="E186" s="2157"/>
      <c r="F186" s="2157"/>
      <c r="G186" s="2157"/>
      <c r="H186" s="2157"/>
      <c r="I186" s="2157"/>
      <c r="J186" s="2157"/>
      <c r="K186" s="2157"/>
      <c r="L186" s="2157"/>
      <c r="M186" s="2157"/>
      <c r="N186" s="2220"/>
      <c r="O186" s="2135"/>
      <c r="P186" s="2110"/>
      <c r="Q186" s="2106"/>
      <c r="AM186" s="2492">
        <v>186</v>
      </c>
    </row>
    <row r="187" spans="1:39" ht="15.95" customHeight="1">
      <c r="A187" s="3806"/>
      <c r="B187" s="3807"/>
      <c r="C187" s="3807"/>
      <c r="D187" s="3807"/>
      <c r="E187" s="3807"/>
      <c r="F187" s="3807"/>
      <c r="G187" s="3807"/>
      <c r="H187" s="3807"/>
      <c r="I187" s="3807"/>
      <c r="J187" s="3807"/>
      <c r="K187" s="3807"/>
      <c r="L187" s="3807"/>
      <c r="M187" s="3807"/>
      <c r="N187" s="3807"/>
      <c r="O187" s="3807"/>
      <c r="P187" s="3808"/>
      <c r="Q187" s="2173"/>
      <c r="AM187" s="2492">
        <v>187</v>
      </c>
    </row>
    <row r="188" spans="1:39" ht="9.75" customHeight="1">
      <c r="AM188" s="2493">
        <v>188</v>
      </c>
    </row>
    <row r="189" spans="1:39" ht="9.75" customHeight="1" thickBot="1">
      <c r="AM189" s="2493">
        <v>189</v>
      </c>
    </row>
    <row r="190" spans="1:39" ht="15.95" customHeight="1" thickBot="1">
      <c r="A190" s="2130" t="s">
        <v>1602</v>
      </c>
      <c r="B190" s="2131" t="s">
        <v>4051</v>
      </c>
      <c r="C190" s="2159"/>
      <c r="D190" s="2159"/>
      <c r="E190" s="2159"/>
      <c r="G190" s="2110"/>
      <c r="H190" s="2148"/>
      <c r="L190" s="2140" t="s">
        <v>4896</v>
      </c>
      <c r="M190" s="2110">
        <v>3</v>
      </c>
      <c r="N190" s="2171"/>
      <c r="O190" s="2044">
        <v>3</v>
      </c>
      <c r="P190" s="2282"/>
      <c r="Q190" s="2235" t="str">
        <f>IF(OR($O190&lt;=$M190,$O190=0,$O190=""),"","*CHECK!*")</f>
        <v/>
      </c>
      <c r="R190" s="2283" t="s">
        <v>415</v>
      </c>
      <c r="S190" s="2110" t="str">
        <f>$O$12</f>
        <v>9%</v>
      </c>
      <c r="AM190" s="2493">
        <v>190</v>
      </c>
    </row>
    <row r="191" spans="1:39" ht="23.25" customHeight="1">
      <c r="B191" s="2284"/>
      <c r="C191" s="2284"/>
      <c r="D191" s="2284"/>
      <c r="E191" s="2285"/>
      <c r="F191" s="3810" t="s">
        <v>4734</v>
      </c>
      <c r="G191" s="3810"/>
      <c r="H191" s="3810" t="s">
        <v>4735</v>
      </c>
      <c r="I191" s="3810"/>
      <c r="J191" s="3874" t="s">
        <v>4745</v>
      </c>
      <c r="K191" s="3875"/>
      <c r="L191" s="3880" t="s">
        <v>4721</v>
      </c>
      <c r="M191" s="3880"/>
      <c r="N191" s="3880"/>
      <c r="O191" s="3881"/>
      <c r="P191" s="2286"/>
      <c r="AM191" s="2493">
        <v>191</v>
      </c>
    </row>
    <row r="192" spans="1:39" ht="24.6" customHeight="1">
      <c r="B192" s="2284"/>
      <c r="C192" s="2284"/>
      <c r="D192" s="2284"/>
      <c r="E192" s="2285"/>
      <c r="F192" s="3810"/>
      <c r="G192" s="3810"/>
      <c r="H192" s="3810"/>
      <c r="I192" s="3810"/>
      <c r="J192" s="3876"/>
      <c r="K192" s="3877"/>
      <c r="L192" s="3810"/>
      <c r="M192" s="3810"/>
      <c r="N192" s="3810"/>
      <c r="O192" s="3881"/>
      <c r="P192" s="2286"/>
      <c r="AM192" s="2492">
        <v>192</v>
      </c>
    </row>
    <row r="193" spans="1:39" ht="15.95" customHeight="1">
      <c r="B193" s="2287" t="s">
        <v>4526</v>
      </c>
      <c r="C193" s="2288"/>
      <c r="D193" s="2285"/>
      <c r="E193" s="2285"/>
      <c r="F193" s="3811"/>
      <c r="G193" s="3811"/>
      <c r="H193" s="3811"/>
      <c r="I193" s="3811"/>
      <c r="J193" s="3878"/>
      <c r="K193" s="3879"/>
      <c r="L193" s="3811"/>
      <c r="M193" s="3811"/>
      <c r="N193" s="3811"/>
      <c r="O193" s="3882"/>
      <c r="P193" s="2286"/>
      <c r="AM193" s="2493">
        <v>193</v>
      </c>
    </row>
    <row r="194" spans="1:39" ht="15.95" customHeight="1">
      <c r="B194" s="3886" t="s">
        <v>5171</v>
      </c>
      <c r="C194" s="3887"/>
      <c r="D194" s="3887"/>
      <c r="E194" s="3888"/>
      <c r="F194" s="3889"/>
      <c r="G194" s="3890"/>
      <c r="H194" s="3889"/>
      <c r="I194" s="3890"/>
      <c r="J194" s="3891" t="s">
        <v>2641</v>
      </c>
      <c r="K194" s="3892"/>
      <c r="L194" s="3891" t="s">
        <v>2641</v>
      </c>
      <c r="M194" s="3893"/>
      <c r="N194" s="3893"/>
      <c r="O194" s="3892"/>
      <c r="P194" s="2151"/>
      <c r="AM194" s="2492">
        <v>194</v>
      </c>
    </row>
    <row r="195" spans="1:39" ht="15.95" customHeight="1">
      <c r="B195" s="3894" t="s">
        <v>5172</v>
      </c>
      <c r="C195" s="3895"/>
      <c r="D195" s="3895"/>
      <c r="E195" s="3896"/>
      <c r="F195" s="3897"/>
      <c r="G195" s="3898"/>
      <c r="H195" s="3897" t="s">
        <v>2641</v>
      </c>
      <c r="I195" s="3898"/>
      <c r="J195" s="3899"/>
      <c r="K195" s="3900"/>
      <c r="L195" s="3899"/>
      <c r="M195" s="3901"/>
      <c r="N195" s="3901"/>
      <c r="O195" s="3900"/>
      <c r="P195" s="2153"/>
      <c r="AM195" s="2492">
        <v>195</v>
      </c>
    </row>
    <row r="196" spans="1:39" ht="15.95" customHeight="1">
      <c r="B196" s="3894" t="s">
        <v>5173</v>
      </c>
      <c r="C196" s="3895"/>
      <c r="D196" s="3895"/>
      <c r="E196" s="3896"/>
      <c r="F196" s="3897"/>
      <c r="G196" s="3898"/>
      <c r="H196" s="3897"/>
      <c r="I196" s="3898"/>
      <c r="J196" s="3899" t="s">
        <v>2641</v>
      </c>
      <c r="K196" s="3900"/>
      <c r="L196" s="3899" t="s">
        <v>2641</v>
      </c>
      <c r="M196" s="3901"/>
      <c r="N196" s="3901"/>
      <c r="O196" s="3900"/>
      <c r="P196" s="2153"/>
      <c r="AM196" s="2492">
        <v>196</v>
      </c>
    </row>
    <row r="197" spans="1:39" ht="15.95" customHeight="1">
      <c r="B197" s="3894"/>
      <c r="C197" s="3895"/>
      <c r="D197" s="3895"/>
      <c r="E197" s="3896"/>
      <c r="F197" s="3897"/>
      <c r="G197" s="3898"/>
      <c r="H197" s="3897"/>
      <c r="I197" s="3898"/>
      <c r="J197" s="3899"/>
      <c r="K197" s="3900"/>
      <c r="L197" s="3899"/>
      <c r="M197" s="3901"/>
      <c r="N197" s="3901"/>
      <c r="O197" s="3900"/>
      <c r="P197" s="2153"/>
      <c r="AM197" s="2492">
        <v>197</v>
      </c>
    </row>
    <row r="198" spans="1:39" ht="15.95" customHeight="1">
      <c r="B198" s="3894"/>
      <c r="C198" s="3895"/>
      <c r="D198" s="3895"/>
      <c r="E198" s="3896"/>
      <c r="F198" s="3897"/>
      <c r="G198" s="3898"/>
      <c r="H198" s="3897"/>
      <c r="I198" s="3898"/>
      <c r="J198" s="3899"/>
      <c r="K198" s="3900"/>
      <c r="L198" s="3899"/>
      <c r="M198" s="3901"/>
      <c r="N198" s="3901"/>
      <c r="O198" s="3900"/>
      <c r="P198" s="2153"/>
      <c r="AM198" s="2493">
        <v>198</v>
      </c>
    </row>
    <row r="199" spans="1:39" ht="15.95" customHeight="1">
      <c r="B199" s="3912"/>
      <c r="C199" s="3913"/>
      <c r="D199" s="3913"/>
      <c r="E199" s="3914"/>
      <c r="F199" s="3915"/>
      <c r="G199" s="3916"/>
      <c r="H199" s="3915"/>
      <c r="I199" s="3916"/>
      <c r="J199" s="3917"/>
      <c r="K199" s="3918"/>
      <c r="L199" s="3917"/>
      <c r="M199" s="3919"/>
      <c r="N199" s="3919"/>
      <c r="O199" s="3918"/>
      <c r="P199" s="2154"/>
      <c r="AM199" s="2493">
        <v>199</v>
      </c>
    </row>
    <row r="200" spans="1:39" ht="15.95" customHeight="1">
      <c r="A200" s="2107"/>
      <c r="B200" s="2129" t="s">
        <v>4847</v>
      </c>
      <c r="C200" s="2107"/>
      <c r="D200" s="2107"/>
      <c r="E200" s="2107"/>
      <c r="F200" s="2107"/>
      <c r="G200" s="2107"/>
      <c r="H200" s="2107"/>
      <c r="I200" s="2107"/>
      <c r="J200" s="2107"/>
      <c r="K200" s="2107"/>
      <c r="M200" s="2109"/>
      <c r="O200" s="2120"/>
      <c r="AM200" s="2493">
        <v>200</v>
      </c>
    </row>
    <row r="201" spans="1:39" ht="15.95" customHeight="1">
      <c r="A201" s="3902" t="s">
        <v>5174</v>
      </c>
      <c r="B201" s="3831"/>
      <c r="C201" s="3831"/>
      <c r="D201" s="3831"/>
      <c r="E201" s="3831"/>
      <c r="F201" s="3831"/>
      <c r="G201" s="3831"/>
      <c r="H201" s="3831"/>
      <c r="I201" s="3831"/>
      <c r="J201" s="3831"/>
      <c r="K201" s="3831"/>
      <c r="L201" s="3831"/>
      <c r="M201" s="3831"/>
      <c r="N201" s="3831"/>
      <c r="O201" s="3831"/>
      <c r="P201" s="3832"/>
      <c r="Q201" s="2190"/>
      <c r="AM201" s="2493">
        <v>201</v>
      </c>
    </row>
    <row r="202" spans="1:39" ht="15.95" customHeight="1">
      <c r="A202" s="2107"/>
      <c r="B202" s="2168" t="s">
        <v>1725</v>
      </c>
      <c r="C202" s="2169"/>
      <c r="D202" s="2168"/>
      <c r="E202" s="2170"/>
      <c r="F202" s="2159"/>
      <c r="G202" s="2159"/>
      <c r="H202" s="2159"/>
      <c r="I202" s="2159"/>
      <c r="J202" s="2159"/>
      <c r="K202" s="2159"/>
      <c r="L202" s="2159"/>
      <c r="M202" s="2159"/>
      <c r="N202" s="2171"/>
      <c r="O202" s="2172"/>
      <c r="P202" s="2110"/>
      <c r="AM202" s="2492">
        <v>202</v>
      </c>
    </row>
    <row r="203" spans="1:39" ht="15.95" customHeight="1">
      <c r="A203" s="3806"/>
      <c r="B203" s="3807"/>
      <c r="C203" s="3807"/>
      <c r="D203" s="3807"/>
      <c r="E203" s="3807"/>
      <c r="F203" s="3807"/>
      <c r="G203" s="3807"/>
      <c r="H203" s="3807"/>
      <c r="I203" s="3807"/>
      <c r="J203" s="3807"/>
      <c r="K203" s="3807"/>
      <c r="L203" s="3807"/>
      <c r="M203" s="3807"/>
      <c r="N203" s="3807"/>
      <c r="O203" s="3807"/>
      <c r="P203" s="3808"/>
      <c r="Q203" s="2173"/>
      <c r="U203" s="2253"/>
      <c r="AM203" s="2493">
        <v>203</v>
      </c>
    </row>
    <row r="204" spans="1:39" ht="9.75" customHeight="1">
      <c r="AM204" s="2492">
        <v>204</v>
      </c>
    </row>
    <row r="205" spans="1:39" ht="9.75" customHeight="1" thickBot="1">
      <c r="AM205" s="2492">
        <v>205</v>
      </c>
    </row>
    <row r="206" spans="1:39" s="2107" customFormat="1" ht="15.95" customHeight="1" thickBot="1">
      <c r="A206" s="2130" t="s">
        <v>2488</v>
      </c>
      <c r="B206" s="2131" t="s">
        <v>3253</v>
      </c>
      <c r="D206" s="2131"/>
      <c r="E206" s="2131"/>
      <c r="K206" s="2451"/>
      <c r="L206" s="2140" t="s">
        <v>4896</v>
      </c>
      <c r="M206" s="2110">
        <v>10</v>
      </c>
      <c r="N206" s="2109"/>
      <c r="O206" s="2210">
        <f>IF(AND($F$12="New Affordability",$C$16="Revitalization/Redevelopment Plans"),MIN($M$206,O212+O222+O229),0)</f>
        <v>0</v>
      </c>
      <c r="P206" s="2210">
        <f>IF(AND($F$12="New Affordability",$C$16="Revitalization/Redevelopment Plans"),MIN($M$206,P212+P222+P229),0)</f>
        <v>0</v>
      </c>
      <c r="Q206" s="2142" t="s">
        <v>415</v>
      </c>
      <c r="R206" s="2442" t="s">
        <v>4998</v>
      </c>
      <c r="S206" s="2104"/>
      <c r="T206" s="2104"/>
      <c r="U206" s="2104"/>
      <c r="V206" s="2443" t="str">
        <f>$C$16</f>
        <v>Stable Communities</v>
      </c>
      <c r="AM206" s="2492">
        <v>206</v>
      </c>
    </row>
    <row r="207" spans="1:39" s="2107" customFormat="1" ht="15.95" customHeight="1">
      <c r="A207" s="2130"/>
      <c r="B207" s="2131"/>
      <c r="D207" s="2131"/>
      <c r="E207" s="2131"/>
      <c r="F207" s="2139" t="s">
        <v>5039</v>
      </c>
      <c r="L207" s="2175"/>
      <c r="M207" s="2110"/>
      <c r="N207" s="2109"/>
      <c r="O207" s="2120">
        <f>MAX(O213+O214+O215+O216+O220+O221+O222+O224+O228+O229,O206)</f>
        <v>0</v>
      </c>
      <c r="P207" s="2120">
        <f>MAX(P213+P214+P215+P216+P220+P221+P222+P224+P228+P229,P206)</f>
        <v>0</v>
      </c>
      <c r="Q207" s="2142"/>
      <c r="R207" s="2148"/>
      <c r="S207" s="2104"/>
      <c r="T207" s="2104"/>
      <c r="U207" s="2104"/>
      <c r="V207" s="2106"/>
      <c r="W207" s="2106"/>
      <c r="X207" s="2106"/>
      <c r="AM207" s="2492">
        <v>207</v>
      </c>
    </row>
    <row r="208" spans="1:39" ht="15.95" customHeight="1">
      <c r="A208" s="2142"/>
      <c r="B208" s="2107" t="s">
        <v>4701</v>
      </c>
      <c r="D208" s="2118"/>
      <c r="E208" s="2118"/>
      <c r="F208" s="2118"/>
      <c r="G208" s="2118"/>
      <c r="H208" s="2118"/>
      <c r="I208" s="2118"/>
      <c r="J208" s="2118"/>
      <c r="K208" s="2118"/>
      <c r="L208" s="2118"/>
      <c r="Q208" s="2235" t="str">
        <f>IF(OR($O213=$M213,$O213=0,$O213=""),"","*CHECK!*")</f>
        <v/>
      </c>
      <c r="R208" s="2148"/>
      <c r="S208" s="2104"/>
      <c r="T208" s="2104"/>
      <c r="U208" s="2104"/>
      <c r="AM208" s="2493">
        <v>208</v>
      </c>
    </row>
    <row r="209" spans="1:39" ht="15.95" customHeight="1">
      <c r="A209" s="2289"/>
      <c r="B209" s="2145"/>
      <c r="C209" s="2162" t="s">
        <v>4897</v>
      </c>
      <c r="D209" s="2162"/>
      <c r="E209" s="2162"/>
      <c r="F209" s="2162"/>
      <c r="G209" s="2162"/>
      <c r="H209" s="2162"/>
      <c r="I209" s="2162"/>
      <c r="J209" s="2162"/>
      <c r="K209" s="2162"/>
      <c r="L209" s="2164"/>
      <c r="N209" s="3903" t="s">
        <v>4702</v>
      </c>
      <c r="O209" s="3904"/>
      <c r="P209" s="3905"/>
      <c r="S209" s="2104"/>
      <c r="T209" s="2104"/>
      <c r="U209" s="2104"/>
      <c r="AM209" s="2493">
        <v>209</v>
      </c>
    </row>
    <row r="210" spans="1:39" s="2107" customFormat="1" ht="15.95" customHeight="1">
      <c r="A210" s="2109"/>
      <c r="B210" s="2145"/>
      <c r="C210" s="2107" t="s">
        <v>4703</v>
      </c>
      <c r="L210" s="2145"/>
      <c r="N210" s="3906" t="s">
        <v>4702</v>
      </c>
      <c r="O210" s="3907"/>
      <c r="P210" s="3908"/>
      <c r="S210" s="2104"/>
      <c r="T210" s="2104"/>
      <c r="U210" s="2104"/>
      <c r="AM210" s="2493">
        <v>210</v>
      </c>
    </row>
    <row r="211" spans="1:39" s="2107" customFormat="1" ht="15.95" customHeight="1">
      <c r="A211" s="2109"/>
      <c r="B211" s="2145"/>
      <c r="C211" s="2107" t="s">
        <v>4898</v>
      </c>
      <c r="L211" s="2145"/>
      <c r="N211" s="3909" t="s">
        <v>4702</v>
      </c>
      <c r="O211" s="3910"/>
      <c r="P211" s="3911"/>
      <c r="Q211" s="2011"/>
      <c r="S211" s="2104"/>
      <c r="T211" s="2104"/>
      <c r="U211" s="2104"/>
      <c r="V211" s="2011"/>
      <c r="AM211" s="2493">
        <v>211</v>
      </c>
    </row>
    <row r="212" spans="1:39" s="2107" customFormat="1" ht="15.95" customHeight="1">
      <c r="A212" s="2110" t="s">
        <v>1836</v>
      </c>
      <c r="B212" s="2238" t="s">
        <v>4075</v>
      </c>
      <c r="L212" s="2209" t="s">
        <v>4896</v>
      </c>
      <c r="M212" s="2109">
        <v>6</v>
      </c>
      <c r="N212" s="2145"/>
      <c r="O212" s="2214">
        <f>MIN($M212,O213+O214+O215)</f>
        <v>0</v>
      </c>
      <c r="P212" s="2214">
        <f>MIN($M212,P213+P214+P215)</f>
        <v>0</v>
      </c>
      <c r="Q212" s="2011"/>
      <c r="S212" s="2104"/>
      <c r="T212" s="2104"/>
      <c r="U212" s="2104"/>
      <c r="V212" s="2011"/>
      <c r="AM212" s="2492">
        <v>212</v>
      </c>
    </row>
    <row r="213" spans="1:39" ht="15.95" customHeight="1">
      <c r="A213" s="2289"/>
      <c r="B213" s="2238" t="s">
        <v>4899</v>
      </c>
      <c r="D213" s="2162"/>
      <c r="E213" s="2162"/>
      <c r="F213" s="2162"/>
      <c r="G213" s="2162"/>
      <c r="H213" s="2162"/>
      <c r="I213" s="2162"/>
      <c r="K213" s="2109"/>
      <c r="L213" s="2144" t="str">
        <f t="shared" ref="L213:L214" si="6">IF(OR($O213=$M213,$O213=0,$O213=""),"","* * Check Score! * *")</f>
        <v/>
      </c>
      <c r="M213" s="2109">
        <v>2</v>
      </c>
      <c r="N213" s="2164"/>
      <c r="O213" s="2012"/>
      <c r="P213" s="2236"/>
      <c r="R213" s="2104"/>
      <c r="S213" s="2104"/>
      <c r="T213" s="2104"/>
      <c r="U213" s="2104"/>
      <c r="AM213" s="2493">
        <v>213</v>
      </c>
    </row>
    <row r="214" spans="1:39" ht="15.95" customHeight="1">
      <c r="A214" s="2177"/>
      <c r="B214" s="2106" t="s">
        <v>4900</v>
      </c>
      <c r="D214" s="2272"/>
      <c r="E214" s="2272"/>
      <c r="F214" s="2272"/>
      <c r="G214" s="2272"/>
      <c r="H214" s="2272"/>
      <c r="I214" s="2272"/>
      <c r="J214" s="2272"/>
      <c r="K214" s="2272"/>
      <c r="L214" s="2144" t="str">
        <f t="shared" si="6"/>
        <v/>
      </c>
      <c r="M214" s="2109">
        <v>1</v>
      </c>
      <c r="N214" s="2145"/>
      <c r="O214" s="2009"/>
      <c r="P214" s="2279"/>
      <c r="Q214" s="2235" t="str">
        <f>IF(OR($O214=$M214,$O214=0,$O214=""),"","*CHECK!*")</f>
        <v/>
      </c>
      <c r="R214" s="2148"/>
      <c r="AM214" s="2492">
        <v>214</v>
      </c>
    </row>
    <row r="215" spans="1:39" ht="15.95" customHeight="1">
      <c r="A215" s="2289"/>
      <c r="B215" s="2238" t="s">
        <v>4977</v>
      </c>
      <c r="D215" s="2162"/>
      <c r="E215" s="2162"/>
      <c r="F215" s="2162"/>
      <c r="G215" s="2162"/>
      <c r="H215" s="2162"/>
      <c r="I215" s="2162"/>
      <c r="K215" s="2109"/>
      <c r="L215" s="2209" t="s">
        <v>4896</v>
      </c>
      <c r="M215" s="2109">
        <v>3</v>
      </c>
      <c r="N215" s="2106"/>
      <c r="O215" s="2214">
        <f>MIN($M215,O216+O220+O221)</f>
        <v>0</v>
      </c>
      <c r="P215" s="2214">
        <f>MIN($M215,P216+P220+P221)</f>
        <v>0</v>
      </c>
      <c r="R215" s="2104"/>
      <c r="S215" s="2104"/>
      <c r="T215" s="2104"/>
      <c r="U215" s="2104"/>
      <c r="AM215" s="2492">
        <v>215</v>
      </c>
    </row>
    <row r="216" spans="1:39" ht="15.95" customHeight="1">
      <c r="A216" s="2109"/>
      <c r="B216" s="2150"/>
      <c r="C216" s="2161" t="s">
        <v>4978</v>
      </c>
      <c r="D216" s="2159"/>
      <c r="E216" s="2159"/>
      <c r="F216" s="2159"/>
      <c r="G216" s="2159"/>
      <c r="H216" s="2159"/>
      <c r="I216" s="2159"/>
      <c r="J216" s="2159"/>
      <c r="K216" s="2159"/>
      <c r="L216" s="2159"/>
      <c r="M216" s="2109">
        <v>3</v>
      </c>
      <c r="N216" s="2171"/>
      <c r="O216" s="2397">
        <f>IF(OR(O217="Yes", O218="Yes", O219="Yes"),$M216,0)</f>
        <v>0</v>
      </c>
      <c r="P216" s="2397">
        <f>IF(OR(P217="Yes", P218="Yes", P219="Yes"),$M216,0)</f>
        <v>0</v>
      </c>
      <c r="AM216" s="2492">
        <v>216</v>
      </c>
    </row>
    <row r="217" spans="1:39" ht="15.95" customHeight="1">
      <c r="A217" s="2177"/>
      <c r="C217" s="2140"/>
      <c r="D217" s="2162" t="s">
        <v>4901</v>
      </c>
      <c r="E217" s="2162"/>
      <c r="F217" s="2162"/>
      <c r="G217" s="2162"/>
      <c r="H217" s="2162"/>
      <c r="I217" s="2162"/>
      <c r="J217" s="2162"/>
      <c r="K217" s="2162"/>
      <c r="L217" s="2162"/>
      <c r="M217" s="2163"/>
      <c r="N217" s="2164"/>
      <c r="O217" s="2000"/>
      <c r="P217" s="2239"/>
      <c r="Q217" s="2235"/>
      <c r="R217" s="2148"/>
      <c r="AM217" s="2492">
        <v>217</v>
      </c>
    </row>
    <row r="218" spans="1:39" ht="15" customHeight="1">
      <c r="A218" s="2177"/>
      <c r="C218" s="2140"/>
      <c r="D218" s="2162" t="s">
        <v>4902</v>
      </c>
      <c r="E218" s="2162"/>
      <c r="F218" s="2162"/>
      <c r="G218" s="2162"/>
      <c r="H218" s="2162"/>
      <c r="I218" s="2162"/>
      <c r="J218" s="2162"/>
      <c r="K218" s="2162"/>
      <c r="L218" s="2162"/>
      <c r="M218" s="2163"/>
      <c r="N218" s="2164"/>
      <c r="O218" s="2013"/>
      <c r="P218" s="2241"/>
      <c r="Q218" s="2235" t="str">
        <f>IF(OR($O218=$M218,$O218=0,$O218=""),"","*CHECK!*")</f>
        <v/>
      </c>
      <c r="R218" s="2148"/>
      <c r="AM218" s="2492">
        <v>218</v>
      </c>
    </row>
    <row r="219" spans="1:39">
      <c r="A219" s="2177"/>
      <c r="B219" s="2150"/>
      <c r="C219" s="2140"/>
      <c r="D219" s="2162" t="s">
        <v>4903</v>
      </c>
      <c r="E219" s="2162"/>
      <c r="F219" s="2162"/>
      <c r="G219" s="2162"/>
      <c r="H219" s="2162"/>
      <c r="I219" s="2162"/>
      <c r="J219" s="2162"/>
      <c r="K219" s="2162"/>
      <c r="L219" s="2162"/>
      <c r="M219" s="2163"/>
      <c r="N219" s="2164"/>
      <c r="O219" s="2040"/>
      <c r="P219" s="2281"/>
      <c r="Q219" s="2235" t="str">
        <f>IF(OR($O219=$M219,$O219=0,$O219=""),"","*CHECK!*")</f>
        <v/>
      </c>
      <c r="R219" s="2148"/>
      <c r="AM219" s="2492">
        <v>219</v>
      </c>
    </row>
    <row r="220" spans="1:39" ht="15.95" customHeight="1">
      <c r="A220" s="2109"/>
      <c r="C220" s="2161" t="s">
        <v>4905</v>
      </c>
      <c r="E220" s="2159"/>
      <c r="F220" s="2159"/>
      <c r="G220" s="2159"/>
      <c r="H220" s="2159"/>
      <c r="I220" s="2159"/>
      <c r="J220" s="2159"/>
      <c r="K220" s="2159"/>
      <c r="L220" s="2144" t="str">
        <f t="shared" ref="L220:L221" si="7">IF(OR($O220=$M220,$O220=0,$O220=""),"","* * Check Score! * *")</f>
        <v/>
      </c>
      <c r="M220" s="2220">
        <v>1</v>
      </c>
      <c r="N220" s="2171"/>
      <c r="O220" s="2012"/>
      <c r="P220" s="2236"/>
      <c r="AM220" s="2492">
        <v>220</v>
      </c>
    </row>
    <row r="221" spans="1:39" ht="15.95" customHeight="1">
      <c r="A221" s="2109"/>
      <c r="C221" s="2161" t="s">
        <v>5014</v>
      </c>
      <c r="E221" s="2159"/>
      <c r="F221" s="2159"/>
      <c r="G221" s="2159"/>
      <c r="H221" s="2159"/>
      <c r="I221" s="2159"/>
      <c r="J221" s="2159"/>
      <c r="K221" s="2159"/>
      <c r="L221" s="2144" t="str">
        <f t="shared" si="7"/>
        <v/>
      </c>
      <c r="M221" s="2220">
        <v>2</v>
      </c>
      <c r="N221" s="2171"/>
      <c r="O221" s="2001"/>
      <c r="P221" s="2237"/>
      <c r="AM221" s="2493">
        <v>221</v>
      </c>
    </row>
    <row r="222" spans="1:39" ht="15.95" customHeight="1">
      <c r="A222" s="2110" t="s">
        <v>1838</v>
      </c>
      <c r="B222" s="2118" t="s">
        <v>3309</v>
      </c>
      <c r="C222" s="2159"/>
      <c r="D222" s="2159"/>
      <c r="E222" s="2159"/>
      <c r="F222" s="2159"/>
      <c r="G222" s="2159"/>
      <c r="H222" s="2159"/>
      <c r="I222" s="2159"/>
      <c r="J222" s="2159"/>
      <c r="K222" s="2159"/>
      <c r="L222" s="2209" t="s">
        <v>4896</v>
      </c>
      <c r="M222" s="2110">
        <v>3</v>
      </c>
      <c r="N222" s="2171"/>
      <c r="O222" s="2155">
        <f>IF(O223="yes",MIN($M222,O224+O228),0)</f>
        <v>0</v>
      </c>
      <c r="P222" s="2155">
        <f>IF(P223="yes",MIN($M222,P224+P228),0)</f>
        <v>0</v>
      </c>
      <c r="Q222" s="2142"/>
      <c r="R222" s="2148"/>
      <c r="AM222" s="2493">
        <v>222</v>
      </c>
    </row>
    <row r="223" spans="1:39" ht="15.95" customHeight="1">
      <c r="A223" s="2110"/>
      <c r="B223" s="2107" t="s">
        <v>4979</v>
      </c>
      <c r="C223" s="2159"/>
      <c r="D223" s="2159"/>
      <c r="E223" s="2159"/>
      <c r="F223" s="2159"/>
      <c r="G223" s="2159"/>
      <c r="H223" s="2159"/>
      <c r="I223" s="2159"/>
      <c r="J223" s="2159"/>
      <c r="K223" s="2159"/>
      <c r="L223" s="2209"/>
      <c r="M223" s="2110"/>
      <c r="N223" s="2171"/>
      <c r="O223" s="2040"/>
      <c r="P223" s="2281"/>
      <c r="Q223" s="2142"/>
      <c r="R223" s="2148"/>
      <c r="AM223" s="2493">
        <v>223</v>
      </c>
    </row>
    <row r="224" spans="1:39" ht="15.95" customHeight="1">
      <c r="A224" s="2130"/>
      <c r="B224" s="2290" t="s">
        <v>1839</v>
      </c>
      <c r="C224" s="2161" t="s">
        <v>4906</v>
      </c>
      <c r="D224" s="2159"/>
      <c r="E224" s="2159"/>
      <c r="F224" s="2159"/>
      <c r="G224" s="2159"/>
      <c r="H224" s="2159"/>
      <c r="L224" s="2209" t="s">
        <v>4896</v>
      </c>
      <c r="M224" s="2109">
        <v>3</v>
      </c>
      <c r="N224" s="2171"/>
      <c r="O224" s="2398">
        <f>MIN($M224,O225+O226+O227)</f>
        <v>0</v>
      </c>
      <c r="P224" s="2398">
        <f>MIN($M224,P225+P226+P227)</f>
        <v>0</v>
      </c>
      <c r="Q224" s="2142"/>
      <c r="R224" s="2148"/>
      <c r="AM224" s="2493">
        <v>224</v>
      </c>
    </row>
    <row r="225" spans="1:39" ht="15.95" customHeight="1">
      <c r="B225" s="2150" t="s">
        <v>1958</v>
      </c>
      <c r="C225" s="2106" t="s">
        <v>4980</v>
      </c>
      <c r="L225" s="2144" t="str">
        <f>IF(OR($O225=$M225,$O225=0,$O225=""),"","* * Check Score! * *")</f>
        <v/>
      </c>
      <c r="M225" s="2127">
        <v>1</v>
      </c>
      <c r="O225" s="2012"/>
      <c r="P225" s="2236"/>
      <c r="AM225" s="2492">
        <v>225</v>
      </c>
    </row>
    <row r="226" spans="1:39" ht="15.95" customHeight="1">
      <c r="B226" s="2150" t="s">
        <v>1959</v>
      </c>
      <c r="C226" s="2106" t="s">
        <v>4907</v>
      </c>
      <c r="L226" s="2144" t="str">
        <f t="shared" ref="L226" si="8">IF(OR($O226=$M226,$O226=0,$O226=""),"","* * Check Score! * *")</f>
        <v/>
      </c>
      <c r="M226" s="2127">
        <v>1</v>
      </c>
      <c r="O226" s="2000"/>
      <c r="P226" s="2239"/>
      <c r="AM226" s="2493">
        <v>226</v>
      </c>
    </row>
    <row r="227" spans="1:39" ht="15.95" customHeight="1">
      <c r="B227" s="2150" t="s">
        <v>1608</v>
      </c>
      <c r="C227" s="2106" t="s">
        <v>4981</v>
      </c>
      <c r="L227" s="2144"/>
      <c r="M227" s="2127">
        <v>1</v>
      </c>
      <c r="O227" s="2001"/>
      <c r="P227" s="2237"/>
      <c r="AM227" s="2492">
        <v>227</v>
      </c>
    </row>
    <row r="228" spans="1:39" ht="15.95" customHeight="1">
      <c r="A228" s="2130"/>
      <c r="B228" s="2149" t="s">
        <v>1841</v>
      </c>
      <c r="C228" s="2107" t="s">
        <v>4908</v>
      </c>
      <c r="D228" s="2209"/>
      <c r="E228" s="2159"/>
      <c r="F228" s="2159"/>
      <c r="G228" s="2159"/>
      <c r="H228" s="2159"/>
      <c r="M228" s="2109">
        <v>2</v>
      </c>
      <c r="N228" s="2291" t="str">
        <f>IF(OR(O$265&gt;0,O$238&gt;0),"Applicant is ineligible for points in this section!  Points claimed in Stable Communities or Community Designations.","")</f>
        <v>Applicant is ineligible for points in this section!  Points claimed in Stable Communities or Community Designations.</v>
      </c>
      <c r="O228" s="2001"/>
      <c r="P228" s="2237"/>
      <c r="Q228" s="2142"/>
      <c r="R228" s="2104"/>
      <c r="S228" s="2104"/>
      <c r="T228" s="2104"/>
      <c r="U228" s="2104"/>
      <c r="AM228" s="2492">
        <v>228</v>
      </c>
    </row>
    <row r="229" spans="1:39" ht="15.95" customHeight="1">
      <c r="A229" s="2110" t="s">
        <v>697</v>
      </c>
      <c r="B229" s="2118" t="s">
        <v>4855</v>
      </c>
      <c r="D229" s="2107"/>
      <c r="F229" s="2292"/>
      <c r="K229" s="2293"/>
      <c r="L229" s="2209" t="s">
        <v>4896</v>
      </c>
      <c r="M229" s="2110">
        <v>3</v>
      </c>
      <c r="N229" s="2145"/>
      <c r="O229" s="2294">
        <f>MIN($M229,O230+O231)</f>
        <v>0</v>
      </c>
      <c r="P229" s="2294">
        <f>MIN($M229,P230+P231)</f>
        <v>0</v>
      </c>
      <c r="Q229" s="2147"/>
      <c r="R229" s="2148"/>
      <c r="AM229" s="2492">
        <v>229</v>
      </c>
    </row>
    <row r="230" spans="1:39" ht="15.95" customHeight="1">
      <c r="A230" s="2107"/>
      <c r="B230" s="2290" t="s">
        <v>1839</v>
      </c>
      <c r="C230" s="2161" t="s">
        <v>3699</v>
      </c>
      <c r="D230" s="2159"/>
      <c r="E230" s="2159"/>
      <c r="F230" s="2159"/>
      <c r="G230" s="2159"/>
      <c r="H230" s="2159"/>
      <c r="I230" s="2159"/>
      <c r="J230" s="2159"/>
      <c r="K230" s="2159"/>
      <c r="L230" s="2209" t="s">
        <v>4896</v>
      </c>
      <c r="M230" s="2171">
        <v>2</v>
      </c>
      <c r="N230" s="2171"/>
      <c r="O230" s="2001"/>
      <c r="P230" s="2237"/>
      <c r="AM230" s="2492">
        <v>230</v>
      </c>
    </row>
    <row r="231" spans="1:39" ht="15.95" customHeight="1">
      <c r="A231" s="2107"/>
      <c r="B231" s="2149" t="s">
        <v>1841</v>
      </c>
      <c r="C231" s="2161" t="s">
        <v>4909</v>
      </c>
      <c r="D231" s="2159"/>
      <c r="E231" s="2159"/>
      <c r="F231" s="2159"/>
      <c r="G231" s="2159"/>
      <c r="H231" s="2159"/>
      <c r="I231" s="2159"/>
      <c r="J231" s="2159"/>
      <c r="K231" s="2159"/>
      <c r="L231" s="2159"/>
      <c r="M231" s="2171">
        <v>1</v>
      </c>
      <c r="N231" s="2171"/>
      <c r="O231" s="2001"/>
      <c r="P231" s="2237"/>
      <c r="AM231" s="2492">
        <v>231</v>
      </c>
    </row>
    <row r="232" spans="1:39" s="2107" customFormat="1" ht="15.95" customHeight="1">
      <c r="B232" s="2129" t="s">
        <v>4847</v>
      </c>
      <c r="L232" s="2106"/>
      <c r="M232" s="2109"/>
      <c r="N232" s="2127"/>
      <c r="O232" s="2120"/>
      <c r="P232" s="2119"/>
      <c r="AM232" s="2492">
        <v>232</v>
      </c>
    </row>
    <row r="233" spans="1:39" ht="15.95" customHeight="1">
      <c r="A233" s="3902" t="s">
        <v>1607</v>
      </c>
      <c r="B233" s="3831"/>
      <c r="C233" s="3831"/>
      <c r="D233" s="3831"/>
      <c r="E233" s="3831"/>
      <c r="F233" s="3831"/>
      <c r="G233" s="3831"/>
      <c r="H233" s="3831"/>
      <c r="I233" s="3831"/>
      <c r="J233" s="3831"/>
      <c r="K233" s="3831"/>
      <c r="L233" s="3831"/>
      <c r="M233" s="3831"/>
      <c r="N233" s="3831"/>
      <c r="O233" s="3831"/>
      <c r="P233" s="3832"/>
      <c r="Q233" s="2190"/>
      <c r="AM233" s="2493">
        <v>233</v>
      </c>
    </row>
    <row r="234" spans="1:39" s="2107" customFormat="1" ht="15.95" customHeight="1">
      <c r="B234" s="2218" t="s">
        <v>1725</v>
      </c>
      <c r="D234" s="2218"/>
      <c r="E234" s="2157"/>
      <c r="F234" s="2157"/>
      <c r="G234" s="2157"/>
      <c r="H234" s="2157"/>
      <c r="I234" s="2157"/>
      <c r="J234" s="2157"/>
      <c r="K234" s="2157"/>
      <c r="L234" s="2157"/>
      <c r="M234" s="2157"/>
      <c r="N234" s="2220"/>
      <c r="O234" s="2135"/>
      <c r="P234" s="2110"/>
      <c r="Q234" s="2106"/>
      <c r="AM234" s="2493">
        <v>234</v>
      </c>
    </row>
    <row r="235" spans="1:39" ht="15.95" customHeight="1">
      <c r="A235" s="3806"/>
      <c r="B235" s="3807"/>
      <c r="C235" s="3807"/>
      <c r="D235" s="3807"/>
      <c r="E235" s="3807"/>
      <c r="F235" s="3807"/>
      <c r="G235" s="3807"/>
      <c r="H235" s="3807"/>
      <c r="I235" s="3807"/>
      <c r="J235" s="3807"/>
      <c r="K235" s="3807"/>
      <c r="L235" s="3807"/>
      <c r="M235" s="3807"/>
      <c r="N235" s="3807"/>
      <c r="O235" s="3807"/>
      <c r="P235" s="3808"/>
      <c r="Q235" s="2173"/>
      <c r="AM235" s="2493">
        <v>235</v>
      </c>
    </row>
    <row r="236" spans="1:39" ht="9.75" customHeight="1">
      <c r="AM236" s="2492">
        <v>236</v>
      </c>
    </row>
    <row r="237" spans="1:39" ht="9.75" customHeight="1" thickBot="1">
      <c r="AM237" s="2492">
        <v>237</v>
      </c>
    </row>
    <row r="238" spans="1:39" s="2107" customFormat="1" ht="15.95" customHeight="1" thickBot="1">
      <c r="A238" s="2130" t="s">
        <v>2075</v>
      </c>
      <c r="B238" s="2131" t="s">
        <v>2490</v>
      </c>
      <c r="D238" s="2131"/>
      <c r="E238" s="2131"/>
      <c r="F238" s="2139" t="s">
        <v>424</v>
      </c>
      <c r="G238" s="2139" t="str">
        <f>'Part I-Project Identification'!$P$26</f>
        <v>No</v>
      </c>
      <c r="K238" s="2175" t="str">
        <f>IF(OR($O$206&gt;0,$O$265&gt;0,$O$303&gt;0),"Points already claimed in another restricted section!","")</f>
        <v/>
      </c>
      <c r="L238" s="2144" t="str">
        <f>IF(OR($O238=$M238,$O238=0,$O238=""),"",IF(OR($O238&lt;$J$251,$O238&gt;$J$251),"* * Check Score! * *",""))</f>
        <v/>
      </c>
      <c r="M238" s="2110">
        <v>10</v>
      </c>
      <c r="N238" s="2109"/>
      <c r="O238" s="2141">
        <f>IF($C$16="Stable Communities",J251,0)</f>
        <v>9</v>
      </c>
      <c r="P238" s="2141">
        <f>IF($H$16="Stable Communities",K251,0)</f>
        <v>0</v>
      </c>
      <c r="Q238" s="2142" t="s">
        <v>415</v>
      </c>
      <c r="R238" s="2442" t="s">
        <v>4998</v>
      </c>
      <c r="S238" s="2104"/>
      <c r="T238" s="2104"/>
      <c r="U238" s="2104"/>
      <c r="V238" s="2443" t="str">
        <f>$C$16</f>
        <v>Stable Communities</v>
      </c>
      <c r="W238" s="2106"/>
      <c r="X238" s="2106"/>
      <c r="AM238" s="2493">
        <v>238</v>
      </c>
    </row>
    <row r="239" spans="1:39" s="2107" customFormat="1" ht="15.95" customHeight="1">
      <c r="A239" s="2130"/>
      <c r="B239" s="2131"/>
      <c r="D239" s="2131"/>
      <c r="E239" s="2131"/>
      <c r="F239" s="2139" t="s">
        <v>5039</v>
      </c>
      <c r="L239" s="2175"/>
      <c r="M239" s="2110"/>
      <c r="N239" s="2109"/>
      <c r="O239" s="2120">
        <f>MAX(J251,O238)</f>
        <v>9</v>
      </c>
      <c r="P239" s="2120">
        <f>MAX(K251,P238)</f>
        <v>0</v>
      </c>
      <c r="Q239" s="2142"/>
      <c r="R239" s="2148"/>
      <c r="S239" s="2104"/>
      <c r="T239" s="2104"/>
      <c r="U239" s="2104"/>
      <c r="V239" s="2106"/>
      <c r="W239" s="2106"/>
      <c r="X239" s="2106"/>
      <c r="AM239" s="2492">
        <v>239</v>
      </c>
    </row>
    <row r="240" spans="1:39" s="2107" customFormat="1" ht="15.95" customHeight="1">
      <c r="A240" s="2130"/>
      <c r="B240" s="2118" t="s">
        <v>4910</v>
      </c>
      <c r="D240" s="2131"/>
      <c r="J240" s="2343" t="s">
        <v>2880</v>
      </c>
      <c r="K240" s="2399" t="s">
        <v>245</v>
      </c>
      <c r="L240" s="2175"/>
      <c r="M240" s="2110"/>
      <c r="N240" s="2109"/>
      <c r="O240" s="2120"/>
      <c r="P240" s="2120"/>
      <c r="Q240" s="2142"/>
      <c r="R240" s="2148"/>
      <c r="S240" s="2104"/>
      <c r="T240" s="2104"/>
      <c r="U240" s="2104"/>
      <c r="V240" s="2106"/>
      <c r="W240" s="2106"/>
      <c r="X240" s="2106"/>
      <c r="AM240" s="2492">
        <v>240</v>
      </c>
    </row>
    <row r="241" spans="1:39" s="2408" customFormat="1" ht="15.95" hidden="1" customHeight="1">
      <c r="A241" s="2406"/>
      <c r="B241" s="2405"/>
      <c r="C241" s="2407" t="s">
        <v>4915</v>
      </c>
      <c r="D241" s="2407"/>
      <c r="E241" s="2407"/>
      <c r="G241" s="3925" t="s">
        <v>4913</v>
      </c>
      <c r="H241" s="3926"/>
      <c r="I241" s="2409" t="s">
        <v>4917</v>
      </c>
      <c r="J241" s="2410"/>
      <c r="L241" s="2410"/>
      <c r="M241" s="2410"/>
      <c r="N241" s="2411"/>
      <c r="O241" s="2411"/>
      <c r="P241" s="2411"/>
      <c r="Q241" s="2412"/>
      <c r="R241" s="2148"/>
      <c r="S241" s="2413"/>
      <c r="T241" s="2413"/>
      <c r="U241" s="2413"/>
      <c r="V241" s="2414"/>
      <c r="W241" s="2414"/>
      <c r="X241" s="2414"/>
      <c r="AM241" s="2493">
        <v>241</v>
      </c>
    </row>
    <row r="242" spans="1:39" s="2408" customFormat="1" ht="15.95" hidden="1" customHeight="1">
      <c r="A242" s="2406"/>
      <c r="B242" s="2405"/>
      <c r="C242" s="2407" t="s">
        <v>4916</v>
      </c>
      <c r="D242" s="2407"/>
      <c r="E242" s="2407"/>
      <c r="H242" s="2410"/>
      <c r="I242" s="2410"/>
      <c r="J242" s="2410"/>
      <c r="K242" s="2410"/>
      <c r="L242" s="2410"/>
      <c r="M242" s="2410"/>
      <c r="N242" s="2411"/>
      <c r="O242" s="2411"/>
      <c r="P242" s="2411"/>
      <c r="Q242" s="2412"/>
      <c r="R242" s="2148"/>
      <c r="S242" s="2413"/>
      <c r="T242" s="2413"/>
      <c r="U242" s="2413"/>
      <c r="V242" s="2414"/>
      <c r="W242" s="2414"/>
      <c r="X242" s="2414"/>
      <c r="AM242" s="2493">
        <v>242</v>
      </c>
    </row>
    <row r="243" spans="1:39" s="2408" customFormat="1" ht="6" hidden="1" customHeight="1">
      <c r="A243" s="2406"/>
      <c r="B243" s="2415"/>
      <c r="D243" s="2415"/>
      <c r="E243" s="2415"/>
      <c r="L243" s="2416"/>
      <c r="M243" s="2417"/>
      <c r="N243" s="2418"/>
      <c r="O243" s="2419"/>
      <c r="P243" s="2419"/>
      <c r="Q243" s="2412"/>
      <c r="R243" s="2148"/>
      <c r="S243" s="2413"/>
      <c r="T243" s="2413"/>
      <c r="U243" s="2413"/>
      <c r="V243" s="2414"/>
      <c r="W243" s="2414"/>
      <c r="X243" s="2414"/>
      <c r="AM243" s="2493">
        <v>243</v>
      </c>
    </row>
    <row r="244" spans="1:39" s="2414" customFormat="1" ht="15.95" hidden="1" customHeight="1">
      <c r="C244" s="2420" t="s">
        <v>4723</v>
      </c>
      <c r="J244" s="3927"/>
      <c r="K244" s="3928"/>
      <c r="L244" s="3928"/>
      <c r="M244" s="3929"/>
      <c r="N244" s="2418"/>
      <c r="O244" s="2418"/>
      <c r="P244" s="2418"/>
      <c r="R244" s="2148"/>
      <c r="S244" s="2413"/>
      <c r="AM244" s="2493">
        <v>244</v>
      </c>
    </row>
    <row r="245" spans="1:39" s="2408" customFormat="1" ht="6" hidden="1" customHeight="1">
      <c r="A245" s="2406"/>
      <c r="B245" s="2415"/>
      <c r="D245" s="2415"/>
      <c r="E245" s="2415"/>
      <c r="L245" s="2416"/>
      <c r="M245" s="2417"/>
      <c r="N245" s="2418"/>
      <c r="O245" s="2419"/>
      <c r="P245" s="2419"/>
      <c r="Q245" s="2412"/>
      <c r="R245" s="2148"/>
      <c r="S245" s="2413"/>
      <c r="T245" s="2413"/>
      <c r="U245" s="2413"/>
      <c r="V245" s="2414"/>
      <c r="W245" s="2414"/>
      <c r="X245" s="2414"/>
      <c r="AM245" s="2492">
        <v>245</v>
      </c>
    </row>
    <row r="246" spans="1:39" s="2408" customFormat="1" ht="15.95" hidden="1" customHeight="1">
      <c r="A246" s="2406"/>
      <c r="D246" s="2421" t="s">
        <v>4911</v>
      </c>
      <c r="E246" s="2422"/>
      <c r="F246" s="2421"/>
      <c r="G246" s="2421"/>
      <c r="H246" s="2421"/>
      <c r="I246" s="2421"/>
      <c r="J246" s="2423">
        <v>2</v>
      </c>
      <c r="K246" s="2423">
        <v>3</v>
      </c>
      <c r="L246" s="2423">
        <v>4</v>
      </c>
      <c r="M246" s="2417"/>
      <c r="N246" s="2418"/>
      <c r="O246" s="2419"/>
      <c r="P246" s="2419"/>
      <c r="Q246" s="2412"/>
      <c r="R246" s="2148"/>
      <c r="S246" s="2413"/>
      <c r="T246" s="2413"/>
      <c r="U246" s="2413"/>
      <c r="V246" s="2414"/>
      <c r="W246" s="2414"/>
      <c r="X246" s="2414"/>
      <c r="AM246" s="2493">
        <v>246</v>
      </c>
    </row>
    <row r="247" spans="1:39" s="2408" customFormat="1" ht="15.95" hidden="1" customHeight="1">
      <c r="A247" s="2406"/>
      <c r="D247" s="2424" t="s">
        <v>4944</v>
      </c>
      <c r="E247" s="2415"/>
      <c r="J247" s="2425">
        <v>6</v>
      </c>
      <c r="K247" s="2425">
        <v>8</v>
      </c>
      <c r="L247" s="2425">
        <v>10</v>
      </c>
      <c r="M247" s="2417"/>
      <c r="N247" s="2418"/>
      <c r="O247" s="2419"/>
      <c r="P247" s="2419"/>
      <c r="Q247" s="2412"/>
      <c r="R247" s="2148"/>
      <c r="S247" s="2413"/>
      <c r="T247" s="2413"/>
      <c r="U247" s="2413"/>
      <c r="V247" s="2414"/>
      <c r="W247" s="2414"/>
      <c r="X247" s="2414"/>
      <c r="AM247" s="2492">
        <v>247</v>
      </c>
    </row>
    <row r="248" spans="1:39" s="2408" customFormat="1" ht="15.95" hidden="1" customHeight="1">
      <c r="A248" s="2406"/>
      <c r="D248" s="2424" t="s">
        <v>4945</v>
      </c>
      <c r="E248" s="2415"/>
      <c r="J248" s="2426">
        <v>5</v>
      </c>
      <c r="K248" s="2426">
        <v>7</v>
      </c>
      <c r="L248" s="2425">
        <v>9</v>
      </c>
      <c r="M248" s="2417"/>
      <c r="N248" s="2418"/>
      <c r="O248" s="2419"/>
      <c r="P248" s="2419"/>
      <c r="Q248" s="2412"/>
      <c r="R248" s="2148"/>
      <c r="S248" s="2413"/>
      <c r="T248" s="2413"/>
      <c r="U248" s="2413"/>
      <c r="V248" s="2414"/>
      <c r="W248" s="2414"/>
      <c r="X248" s="2414"/>
      <c r="AM248" s="2492">
        <v>248</v>
      </c>
    </row>
    <row r="249" spans="1:39" s="2107" customFormat="1" ht="15.95" customHeight="1">
      <c r="A249" s="2130"/>
      <c r="C249" s="2139" t="s">
        <v>4982</v>
      </c>
      <c r="D249" s="2287"/>
      <c r="E249" s="2131"/>
      <c r="J249" s="2427">
        <f>COUNTIF(E254:F258,"Above 50th")</f>
        <v>4</v>
      </c>
      <c r="K249" s="2427">
        <f>COUNTIF(G254:G258,"Above 50th")</f>
        <v>0</v>
      </c>
      <c r="M249" s="2212"/>
      <c r="N249" s="2109"/>
      <c r="O249" s="2120"/>
      <c r="P249" s="2120"/>
      <c r="Q249" s="2142"/>
      <c r="R249" s="2148"/>
      <c r="S249" s="2104"/>
      <c r="T249" s="2104"/>
      <c r="U249" s="2104"/>
      <c r="V249" s="2106"/>
      <c r="W249" s="2106"/>
      <c r="X249" s="2106"/>
      <c r="AM249" s="2492">
        <v>249</v>
      </c>
    </row>
    <row r="250" spans="1:39" s="2107" customFormat="1" ht="15.95" customHeight="1">
      <c r="A250" s="2130"/>
      <c r="C250" s="2139" t="s">
        <v>4983</v>
      </c>
      <c r="D250" s="2287"/>
      <c r="E250" s="2131"/>
      <c r="J250" s="2428" t="str">
        <f>IF(OR(I254="Near Census Tract",I255="Near Census Tract",I256="Near Census Tract",I257="Near Census Tract",I258="Near Census Tract"),"Yes","No")</f>
        <v>Yes</v>
      </c>
      <c r="K250" s="2428" t="str">
        <f>IF(OR(K254="Near Census Tract",K255="Near Census Tract",K256="Near Census Tract",K257="Near Census Tract",K258="Near Census Tract"),"Yes","No")</f>
        <v>No</v>
      </c>
      <c r="M250" s="2212"/>
      <c r="N250" s="2109"/>
      <c r="O250" s="2120"/>
      <c r="P250" s="2120"/>
      <c r="Q250" s="2142"/>
      <c r="R250" s="2148"/>
      <c r="S250" s="2104"/>
      <c r="T250" s="2104"/>
      <c r="U250" s="2104"/>
      <c r="V250" s="2106"/>
      <c r="W250" s="2106"/>
      <c r="X250" s="2106"/>
      <c r="AM250" s="2492">
        <v>250</v>
      </c>
    </row>
    <row r="251" spans="1:39" s="2107" customFormat="1" ht="15.95" customHeight="1">
      <c r="A251" s="2130"/>
      <c r="C251" s="2139" t="s">
        <v>4984</v>
      </c>
      <c r="D251" s="2287"/>
      <c r="E251" s="2131"/>
      <c r="J251" s="2448">
        <f>IF(AND(J249=2,J250="No"),6,IF(AND(J249=3,J250="No"),8,IF(AND(J249&gt;=4,J250="No"),10,IF(AND(J249=2,J250="Yes"),5,IF(AND(J249=3,J250="Yes"),7,IF(AND(J249&gt;=4,J250="Yes"),9,0))))))</f>
        <v>9</v>
      </c>
      <c r="K251" s="2429">
        <f>IF(AND(K249=2,K250="No"),6,IF(AND(K249=3,K250="No"),8,IF(AND(K249&gt;=4,K250="No"),10,IF(AND(K249=2,K250="Yes"),5,IF(AND(K249=3,K250="Yes"),7,IF(AND(K249&gt;=4,K250="Yes"),9,0))))))</f>
        <v>0</v>
      </c>
      <c r="L251" s="2212"/>
      <c r="M251" s="2212"/>
      <c r="N251" s="2109"/>
      <c r="O251" s="2120"/>
      <c r="P251" s="2120"/>
      <c r="Q251" s="2142"/>
      <c r="R251" s="2148"/>
      <c r="S251" s="2104"/>
      <c r="T251" s="2104"/>
      <c r="U251" s="2104"/>
      <c r="V251" s="2106"/>
      <c r="W251" s="2106"/>
      <c r="X251" s="2106"/>
      <c r="AM251" s="2493">
        <v>251</v>
      </c>
    </row>
    <row r="252" spans="1:39" s="2107" customFormat="1" ht="15.95" customHeight="1">
      <c r="A252" s="2130"/>
      <c r="B252" s="2118" t="s">
        <v>4914</v>
      </c>
      <c r="D252" s="2131"/>
      <c r="E252" s="2131"/>
      <c r="L252" s="2175"/>
      <c r="M252" s="2110"/>
      <c r="N252" s="2109"/>
      <c r="O252" s="2120"/>
      <c r="P252" s="2120"/>
      <c r="Q252" s="2142"/>
      <c r="R252" s="2148"/>
      <c r="S252" s="2104"/>
      <c r="T252" s="2104"/>
      <c r="U252" s="2104"/>
      <c r="V252" s="2106"/>
      <c r="W252" s="2106"/>
      <c r="X252" s="2106"/>
      <c r="AM252" s="2493">
        <v>252</v>
      </c>
    </row>
    <row r="253" spans="1:39" s="2107" customFormat="1" ht="30.75" customHeight="1">
      <c r="A253" s="2130"/>
      <c r="B253" s="2400" t="s">
        <v>4985</v>
      </c>
      <c r="C253" s="2106"/>
      <c r="D253" s="2401"/>
      <c r="E253" s="3930" t="s">
        <v>4986</v>
      </c>
      <c r="F253" s="3930"/>
      <c r="G253" s="3930"/>
      <c r="H253" s="2402" t="s">
        <v>4724</v>
      </c>
      <c r="I253" s="3931" t="s">
        <v>4987</v>
      </c>
      <c r="J253" s="3931"/>
      <c r="K253" s="3931"/>
      <c r="L253" s="3931"/>
      <c r="M253" s="3931"/>
      <c r="N253" s="3931"/>
      <c r="O253" s="3931"/>
      <c r="P253" s="3931"/>
      <c r="R253" s="2148"/>
      <c r="S253" s="2104"/>
      <c r="T253" s="2104"/>
      <c r="U253" s="2104"/>
      <c r="V253" s="2106"/>
      <c r="W253" s="2106"/>
      <c r="X253" s="2106"/>
      <c r="AM253" s="2493">
        <v>253</v>
      </c>
    </row>
    <row r="254" spans="1:39" s="2107" customFormat="1" ht="15.95" customHeight="1">
      <c r="A254" s="2130"/>
      <c r="B254" s="2107" t="s">
        <v>4988</v>
      </c>
      <c r="C254" s="2106"/>
      <c r="D254" s="2401"/>
      <c r="E254" s="3932" t="s">
        <v>5129</v>
      </c>
      <c r="F254" s="3933"/>
      <c r="G254" s="2445"/>
      <c r="H254" s="2403"/>
      <c r="I254" s="3932" t="s">
        <v>5130</v>
      </c>
      <c r="J254" s="3933"/>
      <c r="K254" s="3934"/>
      <c r="L254" s="3935"/>
      <c r="M254" s="3932"/>
      <c r="N254" s="3936"/>
      <c r="O254" s="3936"/>
      <c r="P254" s="3933"/>
      <c r="R254" s="2148"/>
      <c r="S254" s="2104"/>
      <c r="T254" s="2104"/>
      <c r="U254" s="2104"/>
      <c r="V254" s="2106"/>
      <c r="W254" s="2106"/>
      <c r="X254" s="2106"/>
      <c r="AM254" s="2493">
        <v>254</v>
      </c>
    </row>
    <row r="255" spans="1:39" s="2107" customFormat="1" ht="15.95" customHeight="1">
      <c r="A255" s="2130"/>
      <c r="B255" s="2107" t="s">
        <v>4989</v>
      </c>
      <c r="C255" s="2106"/>
      <c r="D255" s="2401"/>
      <c r="E255" s="3920" t="s">
        <v>5129</v>
      </c>
      <c r="F255" s="3921"/>
      <c r="G255" s="2446"/>
      <c r="H255" s="2404"/>
      <c r="I255" s="3920" t="s">
        <v>5131</v>
      </c>
      <c r="J255" s="3921"/>
      <c r="K255" s="3922"/>
      <c r="L255" s="3923"/>
      <c r="M255" s="3920">
        <v>131350505.2</v>
      </c>
      <c r="N255" s="3924"/>
      <c r="O255" s="3924"/>
      <c r="P255" s="3921"/>
      <c r="R255" s="2148"/>
      <c r="S255" s="2104"/>
      <c r="T255" s="2104"/>
      <c r="U255" s="2104"/>
      <c r="V255" s="2106"/>
      <c r="W255" s="2106"/>
      <c r="X255" s="2106"/>
      <c r="AM255" s="2492">
        <v>255</v>
      </c>
    </row>
    <row r="256" spans="1:39" s="2107" customFormat="1" ht="15.95" customHeight="1">
      <c r="A256" s="2130"/>
      <c r="B256" s="2107" t="s">
        <v>4990</v>
      </c>
      <c r="C256" s="2106"/>
      <c r="D256" s="2401"/>
      <c r="E256" s="3920" t="s">
        <v>5129</v>
      </c>
      <c r="F256" s="3921"/>
      <c r="G256" s="2446"/>
      <c r="H256" s="2404"/>
      <c r="I256" s="3920" t="s">
        <v>5131</v>
      </c>
      <c r="J256" s="3921"/>
      <c r="K256" s="3922"/>
      <c r="L256" s="3923"/>
      <c r="M256" s="3920">
        <v>131350505.2</v>
      </c>
      <c r="N256" s="3924"/>
      <c r="O256" s="3924"/>
      <c r="P256" s="3921"/>
      <c r="R256" s="2148"/>
      <c r="S256" s="2104"/>
      <c r="T256" s="2104"/>
      <c r="U256" s="2104"/>
      <c r="V256" s="2106"/>
      <c r="W256" s="2106"/>
      <c r="X256" s="2106"/>
      <c r="AM256" s="2493">
        <v>256</v>
      </c>
    </row>
    <row r="257" spans="1:39" s="2107" customFormat="1" ht="15.95" customHeight="1">
      <c r="A257" s="2130"/>
      <c r="B257" s="2107" t="s">
        <v>4991</v>
      </c>
      <c r="C257" s="2131"/>
      <c r="D257" s="2131"/>
      <c r="E257" s="3920"/>
      <c r="F257" s="3921"/>
      <c r="G257" s="2446"/>
      <c r="H257" s="2449"/>
      <c r="I257" s="3920"/>
      <c r="J257" s="3921"/>
      <c r="K257" s="3922"/>
      <c r="L257" s="3923"/>
      <c r="M257" s="3920"/>
      <c r="N257" s="3924"/>
      <c r="O257" s="3924"/>
      <c r="P257" s="3921"/>
      <c r="R257" s="2148"/>
      <c r="S257" s="2104"/>
      <c r="T257" s="2104"/>
      <c r="U257" s="2104"/>
      <c r="V257" s="2106"/>
      <c r="W257" s="2106"/>
      <c r="X257" s="2106"/>
      <c r="AM257" s="2492">
        <v>257</v>
      </c>
    </row>
    <row r="258" spans="1:39" s="2107" customFormat="1" ht="15.95" customHeight="1">
      <c r="A258" s="2130"/>
      <c r="B258" s="2107" t="s">
        <v>4114</v>
      </c>
      <c r="C258" s="2131"/>
      <c r="D258" s="2131"/>
      <c r="E258" s="3939" t="s">
        <v>5129</v>
      </c>
      <c r="F258" s="3940"/>
      <c r="G258" s="2447"/>
      <c r="H258" s="2450">
        <v>2021</v>
      </c>
      <c r="I258" s="3939" t="s">
        <v>5130</v>
      </c>
      <c r="J258" s="3940"/>
      <c r="K258" s="3941"/>
      <c r="L258" s="3942"/>
      <c r="M258" s="3939"/>
      <c r="N258" s="3943"/>
      <c r="O258" s="3943"/>
      <c r="P258" s="3940"/>
      <c r="R258" s="2148"/>
      <c r="S258" s="2104"/>
      <c r="T258" s="2104"/>
      <c r="U258" s="2104"/>
      <c r="V258" s="2106"/>
      <c r="W258" s="2106"/>
      <c r="X258" s="2106"/>
      <c r="AM258" s="2492">
        <v>258</v>
      </c>
    </row>
    <row r="259" spans="1:39" ht="15.95" customHeight="1">
      <c r="A259" s="2107"/>
      <c r="B259" s="2129" t="s">
        <v>4847</v>
      </c>
      <c r="C259" s="2107"/>
      <c r="D259" s="2107"/>
      <c r="E259" s="2107"/>
      <c r="F259" s="2107"/>
      <c r="G259" s="2107"/>
      <c r="H259" s="2107"/>
      <c r="I259" s="2107"/>
      <c r="J259" s="2107"/>
      <c r="K259" s="2107"/>
      <c r="M259" s="2109"/>
      <c r="O259" s="2120"/>
      <c r="AM259" s="2492">
        <v>259</v>
      </c>
    </row>
    <row r="260" spans="1:39" ht="15.95" customHeight="1">
      <c r="A260" s="3902" t="s">
        <v>5185</v>
      </c>
      <c r="B260" s="3831"/>
      <c r="C260" s="3831"/>
      <c r="D260" s="3831"/>
      <c r="E260" s="3831"/>
      <c r="F260" s="3831"/>
      <c r="G260" s="3831"/>
      <c r="H260" s="3831"/>
      <c r="I260" s="3831"/>
      <c r="J260" s="3831"/>
      <c r="K260" s="3831"/>
      <c r="L260" s="3831"/>
      <c r="M260" s="3831"/>
      <c r="N260" s="3831"/>
      <c r="O260" s="3831"/>
      <c r="P260" s="3832"/>
      <c r="Q260" s="2190"/>
      <c r="AM260" s="2492">
        <v>260</v>
      </c>
    </row>
    <row r="261" spans="1:39" ht="15.95" customHeight="1">
      <c r="A261" s="2107"/>
      <c r="B261" s="2168" t="s">
        <v>1725</v>
      </c>
      <c r="C261" s="2107"/>
      <c r="D261" s="2168"/>
      <c r="E261" s="2159"/>
      <c r="F261" s="2159"/>
      <c r="G261" s="2159"/>
      <c r="H261" s="2159"/>
      <c r="I261" s="2159"/>
      <c r="J261" s="2159"/>
      <c r="K261" s="2159"/>
      <c r="L261" s="2159"/>
      <c r="M261" s="2159"/>
      <c r="N261" s="2171"/>
      <c r="O261" s="2172"/>
      <c r="P261" s="2110"/>
      <c r="AM261" s="2493">
        <v>261</v>
      </c>
    </row>
    <row r="262" spans="1:39" ht="15.95" customHeight="1">
      <c r="A262" s="3806"/>
      <c r="B262" s="3807"/>
      <c r="C262" s="3807"/>
      <c r="D262" s="3807"/>
      <c r="E262" s="3807"/>
      <c r="F262" s="3807"/>
      <c r="G262" s="3807"/>
      <c r="H262" s="3807"/>
      <c r="I262" s="3807"/>
      <c r="J262" s="3807"/>
      <c r="K262" s="3807"/>
      <c r="L262" s="3807"/>
      <c r="M262" s="3807"/>
      <c r="N262" s="3807"/>
      <c r="O262" s="3807"/>
      <c r="P262" s="3808"/>
      <c r="Q262" s="2173"/>
      <c r="AM262" s="2493">
        <v>262</v>
      </c>
    </row>
    <row r="263" spans="1:39" ht="9.75" customHeight="1">
      <c r="AM263" s="2493">
        <v>263</v>
      </c>
    </row>
    <row r="264" spans="1:39" ht="9.75" customHeight="1" thickBot="1">
      <c r="AM264" s="2493">
        <v>264</v>
      </c>
    </row>
    <row r="265" spans="1:39" s="2107" customFormat="1" ht="15.95" customHeight="1" thickBot="1">
      <c r="A265" s="2130" t="s">
        <v>3283</v>
      </c>
      <c r="B265" s="2131" t="s">
        <v>3255</v>
      </c>
      <c r="D265" s="2131"/>
      <c r="E265" s="2131"/>
      <c r="G265" s="2174"/>
      <c r="J265" s="2175" t="str">
        <f>IF(OR($O$206&gt;0,$O$238&gt;0,$O$303&gt;0),"Points already claimed in another restricted section!","")</f>
        <v>Points already claimed in another restricted section!</v>
      </c>
      <c r="L265" s="2313" t="str">
        <f>IF(AND(O265&gt;0,NOT($F$12="New Affordability")), "Not New Affordability!","")</f>
        <v/>
      </c>
      <c r="M265" s="2110">
        <v>10</v>
      </c>
      <c r="N265" s="2109"/>
      <c r="O265" s="2141">
        <f>IF(AND($F$12="New Affordability",$C$16="Community Designations"),IF(OR(O$206&gt;0,O$238&gt;0,O$303&gt;0),0,IF(OR(O266="Yes",O267="Yes"),$M$265,0)),0)</f>
        <v>0</v>
      </c>
      <c r="P265" s="2141">
        <f>IF(AND($H$12="New Affordability",$H$16="Community Designations"),IF(OR(P$206&gt;0,P$238&gt;0,P$303&gt;0),0,IF(OR(P266="Yes",P267="Yes"),$M$265,0)),0)</f>
        <v>0</v>
      </c>
      <c r="Q265" s="2142" t="s">
        <v>415</v>
      </c>
      <c r="R265" s="2442" t="s">
        <v>4998</v>
      </c>
      <c r="S265" s="2104"/>
      <c r="T265" s="2104"/>
      <c r="U265" s="2104"/>
      <c r="V265" s="2443" t="str">
        <f>$C$16</f>
        <v>Stable Communities</v>
      </c>
      <c r="AM265" s="2492">
        <v>265</v>
      </c>
    </row>
    <row r="266" spans="1:39" ht="15.95" customHeight="1">
      <c r="A266" s="2110" t="s">
        <v>1836</v>
      </c>
      <c r="B266" s="2182" t="s">
        <v>3180</v>
      </c>
      <c r="D266" s="2161"/>
      <c r="E266" s="2161"/>
      <c r="F266" s="2161"/>
      <c r="G266" s="2161"/>
      <c r="H266" s="2161"/>
      <c r="L266" s="2161"/>
      <c r="M266" s="3937" t="str">
        <f>IF(AND(O266="Yes",O267="Yes"),"Only one category can be selected!","")</f>
        <v/>
      </c>
      <c r="N266" s="2145"/>
      <c r="O266" s="2003"/>
      <c r="P266" s="2151"/>
      <c r="Q266" s="2016"/>
      <c r="R266" s="2104"/>
      <c r="S266" s="2104"/>
      <c r="T266" s="2104"/>
      <c r="U266" s="2104"/>
      <c r="V266" s="2104"/>
      <c r="AM266" s="2493">
        <v>266</v>
      </c>
    </row>
    <row r="267" spans="1:39" ht="15.95" customHeight="1">
      <c r="A267" s="2110" t="s">
        <v>1838</v>
      </c>
      <c r="B267" s="2182" t="s">
        <v>3181</v>
      </c>
      <c r="D267" s="2161"/>
      <c r="L267" s="2161"/>
      <c r="M267" s="3937"/>
      <c r="N267" s="2145"/>
      <c r="O267" s="2002"/>
      <c r="P267" s="2154"/>
      <c r="Q267" s="2016"/>
      <c r="R267" s="2104"/>
      <c r="S267" s="2104"/>
      <c r="T267" s="2104"/>
      <c r="U267" s="2104"/>
      <c r="V267" s="2104"/>
      <c r="AM267" s="2492">
        <v>267</v>
      </c>
    </row>
    <row r="268" spans="1:39" ht="15.95" customHeight="1">
      <c r="A268" s="2107"/>
      <c r="B268" s="2129" t="s">
        <v>4847</v>
      </c>
      <c r="C268" s="2107"/>
      <c r="D268" s="2107"/>
      <c r="E268" s="2107"/>
      <c r="F268" s="2107"/>
      <c r="G268" s="2107"/>
      <c r="H268" s="2107"/>
      <c r="I268" s="2107"/>
      <c r="J268" s="2107"/>
      <c r="K268" s="2107"/>
      <c r="M268" s="2109"/>
      <c r="O268" s="2120"/>
      <c r="R268" s="2104"/>
      <c r="S268" s="2104"/>
      <c r="T268" s="2104"/>
      <c r="U268" s="2104"/>
      <c r="V268" s="2104"/>
      <c r="AM268" s="2492">
        <v>268</v>
      </c>
    </row>
    <row r="269" spans="1:39" ht="15.95" customHeight="1">
      <c r="A269" s="3902" t="s">
        <v>1607</v>
      </c>
      <c r="B269" s="3831"/>
      <c r="C269" s="3831"/>
      <c r="D269" s="3831"/>
      <c r="E269" s="3831"/>
      <c r="F269" s="3831"/>
      <c r="G269" s="3831"/>
      <c r="H269" s="3831"/>
      <c r="I269" s="3831"/>
      <c r="J269" s="3831"/>
      <c r="K269" s="3831"/>
      <c r="L269" s="3831"/>
      <c r="M269" s="3831"/>
      <c r="N269" s="3831"/>
      <c r="O269" s="3831"/>
      <c r="P269" s="3832"/>
      <c r="Q269" s="2190"/>
      <c r="AM269" s="2492">
        <v>269</v>
      </c>
    </row>
    <row r="270" spans="1:39" ht="15.95" customHeight="1">
      <c r="A270" s="2107"/>
      <c r="B270" s="2168" t="s">
        <v>1725</v>
      </c>
      <c r="C270" s="2107"/>
      <c r="D270" s="2168"/>
      <c r="E270" s="2159"/>
      <c r="F270" s="2159"/>
      <c r="G270" s="2159"/>
      <c r="H270" s="2159"/>
      <c r="I270" s="2159"/>
      <c r="J270" s="2159"/>
      <c r="K270" s="2159"/>
      <c r="L270" s="2159"/>
      <c r="M270" s="2159"/>
      <c r="N270" s="2171"/>
      <c r="O270" s="2172"/>
      <c r="P270" s="2110"/>
      <c r="AM270" s="2493">
        <v>270</v>
      </c>
    </row>
    <row r="271" spans="1:39" ht="15.95" customHeight="1">
      <c r="A271" s="3806"/>
      <c r="B271" s="3807"/>
      <c r="C271" s="3807"/>
      <c r="D271" s="3807"/>
      <c r="E271" s="3807"/>
      <c r="F271" s="3807"/>
      <c r="G271" s="3807"/>
      <c r="H271" s="3807"/>
      <c r="I271" s="3807"/>
      <c r="J271" s="3807"/>
      <c r="K271" s="3807"/>
      <c r="L271" s="3807"/>
      <c r="M271" s="3807"/>
      <c r="N271" s="3807"/>
      <c r="O271" s="3807"/>
      <c r="P271" s="3808"/>
      <c r="Q271" s="2173"/>
      <c r="AM271" s="2493">
        <v>271</v>
      </c>
    </row>
    <row r="272" spans="1:39" ht="9.75" customHeight="1">
      <c r="AM272" s="2493">
        <v>272</v>
      </c>
    </row>
    <row r="273" spans="1:39" ht="9.75" customHeight="1" thickBot="1">
      <c r="AM273" s="2493">
        <v>273</v>
      </c>
    </row>
    <row r="274" spans="1:39" ht="15.95" customHeight="1" thickBot="1">
      <c r="A274" s="2130" t="s">
        <v>3284</v>
      </c>
      <c r="B274" s="2131" t="s">
        <v>3909</v>
      </c>
      <c r="E274" s="2148" t="str">
        <f>IF(AND(O274&gt;0,NOT($F$12="New Affordability"),NOT($O$12="9%")), "Ineligible, not New Affordability and 9%!","")</f>
        <v/>
      </c>
      <c r="G274" s="2285" t="str">
        <f>$O$12</f>
        <v>9%</v>
      </c>
      <c r="H274" s="2208" t="str">
        <f>$J$12</f>
        <v>Atlanta Metro</v>
      </c>
      <c r="L274" s="2140" t="s">
        <v>4896</v>
      </c>
      <c r="M274" s="2110">
        <v>4</v>
      </c>
      <c r="N274" s="2109"/>
      <c r="O274" s="2141">
        <f>IF(AND($F$12="New Affordability",O275="Yes",$G$274="9%",OR($H$274="Atlanta Metro",$H$274= "Other Metro")),4,IF(AND($F$12="New Affordability",O275="Yes"),3,0))</f>
        <v>0</v>
      </c>
      <c r="P274" s="2141">
        <f>IF(AND(P275="Yes",$G$274="9%",OR($L$274="Atlanta Metro",$L$274= "Other Metro")),4,IF(P275="Yes",3,0))</f>
        <v>0</v>
      </c>
      <c r="Q274" s="2142" t="s">
        <v>415</v>
      </c>
      <c r="R274" s="2148"/>
      <c r="S274" s="2104"/>
      <c r="T274" s="2104"/>
      <c r="U274" s="2104"/>
      <c r="V274" s="2104"/>
      <c r="W274" s="2314"/>
      <c r="X274" s="2314"/>
      <c r="AM274" s="2492">
        <v>274</v>
      </c>
    </row>
    <row r="275" spans="1:39" ht="15.95" customHeight="1">
      <c r="A275" s="2315"/>
      <c r="B275" s="2162" t="s">
        <v>4155</v>
      </c>
      <c r="C275" s="2162"/>
      <c r="D275" s="2162"/>
      <c r="E275" s="2162"/>
      <c r="F275" s="2162"/>
      <c r="N275" s="2164"/>
      <c r="O275" s="2017"/>
      <c r="P275" s="2258"/>
      <c r="Q275" s="2316"/>
      <c r="R275" s="2264"/>
      <c r="S275" s="2264"/>
      <c r="T275" s="2264"/>
      <c r="W275" s="2264"/>
      <c r="X275" s="2264"/>
      <c r="Y275" s="2264"/>
      <c r="Z275" s="2264"/>
      <c r="AA275" s="2264"/>
      <c r="AM275" s="2493">
        <v>275</v>
      </c>
    </row>
    <row r="276" spans="1:39" ht="15.95" customHeight="1">
      <c r="A276" s="2315"/>
      <c r="B276" s="2162"/>
      <c r="C276" s="2162"/>
      <c r="D276" s="2162"/>
      <c r="E276" s="2162"/>
      <c r="F276" s="2162"/>
      <c r="G276" s="2127" t="s">
        <v>4704</v>
      </c>
      <c r="H276" s="3751" t="s">
        <v>573</v>
      </c>
      <c r="I276" s="3751"/>
      <c r="J276" s="3751"/>
      <c r="K276" s="3938" t="s">
        <v>4742</v>
      </c>
      <c r="L276" s="3938"/>
      <c r="M276" s="3938"/>
      <c r="N276" s="2317"/>
      <c r="O276" s="2317"/>
      <c r="P276" s="2317"/>
      <c r="Q276" s="2264"/>
      <c r="R276" s="2264"/>
      <c r="S276" s="2264"/>
      <c r="T276" s="2264"/>
      <c r="W276" s="2264"/>
      <c r="X276" s="2264"/>
      <c r="Y276" s="2264"/>
      <c r="Z276" s="2264"/>
      <c r="AA276" s="2264"/>
      <c r="AM276" s="2492">
        <v>276</v>
      </c>
    </row>
    <row r="277" spans="1:39" ht="15.95" customHeight="1">
      <c r="A277" s="2315"/>
      <c r="B277" s="2315"/>
      <c r="D277" s="2253" t="s">
        <v>4156</v>
      </c>
      <c r="G277" s="2018"/>
      <c r="H277" s="3946"/>
      <c r="I277" s="3947"/>
      <c r="J277" s="3948"/>
      <c r="K277" s="3949"/>
      <c r="L277" s="3949"/>
      <c r="M277" s="3949"/>
      <c r="N277" s="2164"/>
      <c r="O277" s="2257"/>
      <c r="P277" s="2257"/>
      <c r="Q277" s="2264"/>
      <c r="R277" s="2264"/>
      <c r="S277" s="2264"/>
      <c r="T277" s="2264"/>
      <c r="W277" s="2264"/>
      <c r="X277" s="2264"/>
      <c r="Y277" s="2264"/>
      <c r="Z277" s="2264"/>
      <c r="AA277" s="2264"/>
      <c r="AM277" s="2492">
        <v>277</v>
      </c>
    </row>
    <row r="278" spans="1:39" s="2107" customFormat="1" ht="15.95" customHeight="1">
      <c r="A278" s="2194"/>
      <c r="B278" s="2315"/>
      <c r="D278" s="2139" t="s">
        <v>4157</v>
      </c>
      <c r="G278" s="2019"/>
      <c r="H278" s="3950"/>
      <c r="I278" s="3951"/>
      <c r="J278" s="3952"/>
      <c r="K278" s="3953"/>
      <c r="L278" s="3953"/>
      <c r="M278" s="3953"/>
      <c r="AM278" s="2492">
        <v>278</v>
      </c>
    </row>
    <row r="279" spans="1:39" ht="15.95" hidden="1" customHeight="1">
      <c r="A279" s="2107"/>
      <c r="D279" s="2107"/>
      <c r="E279" s="2107"/>
      <c r="F279" s="2110"/>
      <c r="G279" s="2110"/>
      <c r="H279" s="2110"/>
      <c r="I279" s="2110"/>
      <c r="J279" s="2139"/>
      <c r="K279" s="2139"/>
      <c r="L279" s="2139"/>
      <c r="M279" s="2109"/>
      <c r="N279" s="2110"/>
      <c r="P279" s="2120"/>
      <c r="AM279" s="2492">
        <v>279</v>
      </c>
    </row>
    <row r="280" spans="1:39" ht="15.95" customHeight="1">
      <c r="A280" s="2107"/>
      <c r="B280" s="2129" t="s">
        <v>4847</v>
      </c>
      <c r="C280" s="2107"/>
      <c r="D280" s="2107"/>
      <c r="E280" s="2107"/>
      <c r="F280" s="2107"/>
      <c r="G280" s="2107"/>
      <c r="H280" s="2107"/>
      <c r="I280" s="2107"/>
      <c r="J280" s="2107"/>
      <c r="K280" s="2107"/>
      <c r="M280" s="2109"/>
      <c r="O280" s="2120"/>
      <c r="AM280" s="2492">
        <v>280</v>
      </c>
    </row>
    <row r="281" spans="1:39" ht="15.95" customHeight="1">
      <c r="A281" s="3902" t="s">
        <v>1607</v>
      </c>
      <c r="B281" s="3831"/>
      <c r="C281" s="3831"/>
      <c r="D281" s="3831"/>
      <c r="E281" s="3831"/>
      <c r="F281" s="3831"/>
      <c r="G281" s="3831"/>
      <c r="H281" s="3831"/>
      <c r="I281" s="3831"/>
      <c r="J281" s="3831"/>
      <c r="K281" s="3831"/>
      <c r="L281" s="3831"/>
      <c r="M281" s="3831"/>
      <c r="N281" s="3831"/>
      <c r="O281" s="3831"/>
      <c r="P281" s="3832"/>
      <c r="Q281" s="2190"/>
      <c r="AM281" s="2492">
        <v>281</v>
      </c>
    </row>
    <row r="282" spans="1:39" ht="15.95" customHeight="1">
      <c r="B282" s="2168" t="s">
        <v>1725</v>
      </c>
      <c r="C282" s="2169"/>
      <c r="D282" s="2168"/>
      <c r="E282" s="2170"/>
      <c r="F282" s="2159"/>
      <c r="G282" s="2159"/>
      <c r="H282" s="2159"/>
      <c r="I282" s="2159"/>
      <c r="J282" s="2159"/>
      <c r="K282" s="2159"/>
      <c r="L282" s="2159"/>
      <c r="M282" s="2159"/>
      <c r="N282" s="2171"/>
      <c r="O282" s="2172"/>
      <c r="P282" s="2110"/>
      <c r="AM282" s="2493">
        <v>282</v>
      </c>
    </row>
    <row r="283" spans="1:39" ht="15.95" customHeight="1">
      <c r="A283" s="3806"/>
      <c r="B283" s="3807"/>
      <c r="C283" s="3807"/>
      <c r="D283" s="3807"/>
      <c r="E283" s="3807"/>
      <c r="F283" s="3807"/>
      <c r="G283" s="3807"/>
      <c r="H283" s="3807"/>
      <c r="I283" s="3807"/>
      <c r="J283" s="3807"/>
      <c r="K283" s="3807"/>
      <c r="L283" s="3807"/>
      <c r="M283" s="3807"/>
      <c r="N283" s="3807"/>
      <c r="O283" s="3807"/>
      <c r="P283" s="3808"/>
      <c r="Q283" s="2173"/>
      <c r="AM283" s="2493">
        <v>283</v>
      </c>
    </row>
    <row r="284" spans="1:39" ht="9.75" customHeight="1">
      <c r="AM284" s="2493">
        <v>284</v>
      </c>
    </row>
    <row r="285" spans="1:39" ht="9.75" customHeight="1" thickBot="1">
      <c r="AM285" s="2492">
        <v>285</v>
      </c>
    </row>
    <row r="286" spans="1:39" ht="15.95" customHeight="1" thickBot="1">
      <c r="A286" s="2130" t="s">
        <v>3282</v>
      </c>
      <c r="B286" s="2131" t="s">
        <v>3837</v>
      </c>
      <c r="G286" s="2143"/>
      <c r="I286" s="2175" t="str">
        <f>IF($O$274&gt;0,"Points already claimed in another restricted section!","")</f>
        <v/>
      </c>
      <c r="K286" s="2313" t="str">
        <f>IF(AND(SUM(O288,O291,O294)&gt;0,NOT($F$12="New Affordability"),NOT($O$12="9%")), "Not 9% New Affordability!","")</f>
        <v/>
      </c>
      <c r="L286" s="2140" t="s">
        <v>4896</v>
      </c>
      <c r="M286" s="2110">
        <v>5</v>
      </c>
      <c r="N286" s="2109"/>
      <c r="O286" s="2141">
        <f>IF(AND(O274=0,$F$12="New Affordability",$O$12="9%"),MIN($M286,MAX(O288,O291,O294)),0)</f>
        <v>3</v>
      </c>
      <c r="P286" s="2141">
        <f>IF(AND(P274=0,$H$12="New Affordability",$O$12="9%"),MIN($M286,MAX(P288,P291,P294)),0)</f>
        <v>0</v>
      </c>
      <c r="Q286" s="2142" t="s">
        <v>415</v>
      </c>
      <c r="R286" s="2148"/>
      <c r="S286" s="2104"/>
      <c r="T286" s="2104"/>
      <c r="U286" s="2104"/>
      <c r="V286" s="2104"/>
      <c r="W286" s="2314"/>
      <c r="X286" s="2314"/>
      <c r="AM286" s="2492">
        <v>286</v>
      </c>
    </row>
    <row r="287" spans="1:39" ht="15" customHeight="1">
      <c r="B287" s="2106" t="s">
        <v>4918</v>
      </c>
      <c r="AM287" s="2493">
        <v>287</v>
      </c>
    </row>
    <row r="288" spans="1:39" s="2107" customFormat="1" ht="15.95" customHeight="1">
      <c r="A288" s="2110" t="s">
        <v>1836</v>
      </c>
      <c r="B288" s="2118" t="s">
        <v>4919</v>
      </c>
      <c r="L288" s="2209" t="s">
        <v>4896</v>
      </c>
      <c r="M288" s="2109">
        <v>5</v>
      </c>
      <c r="N288" s="2145"/>
      <c r="O288" s="2008"/>
      <c r="P288" s="2277"/>
      <c r="Q288" s="2147" t="str">
        <f>IF(OR($O288&lt;=$M288,$O288=""),"","*CHECK!*")</f>
        <v/>
      </c>
      <c r="R288" s="2148"/>
      <c r="S288" s="2104"/>
      <c r="T288" s="2104"/>
      <c r="U288" s="2104"/>
      <c r="V288" s="2104"/>
      <c r="AM288" s="2492">
        <v>288</v>
      </c>
    </row>
    <row r="289" spans="1:39" ht="15.75" customHeight="1">
      <c r="C289" s="2106" t="s">
        <v>4992</v>
      </c>
      <c r="O289" s="2012"/>
      <c r="P289" s="2236"/>
      <c r="AM289" s="2492">
        <v>289</v>
      </c>
    </row>
    <row r="290" spans="1:39" ht="15.75" customHeight="1">
      <c r="C290" s="2106" t="s">
        <v>4993</v>
      </c>
      <c r="O290" s="2017"/>
      <c r="P290" s="2237"/>
      <c r="AM290" s="2493">
        <v>290</v>
      </c>
    </row>
    <row r="291" spans="1:39" s="2107" customFormat="1" ht="15.95" customHeight="1">
      <c r="A291" s="2110" t="s">
        <v>1838</v>
      </c>
      <c r="B291" s="2118" t="s">
        <v>4920</v>
      </c>
      <c r="L291" s="2209" t="s">
        <v>4896</v>
      </c>
      <c r="M291" s="2109">
        <v>3</v>
      </c>
      <c r="N291" s="2145"/>
      <c r="O291" s="2010">
        <v>3</v>
      </c>
      <c r="P291" s="2227"/>
      <c r="Q291" s="2147" t="str">
        <f>IF(OR($O291&lt;=$M291,$O291=""),"","*CHECK!*")</f>
        <v/>
      </c>
      <c r="R291" s="2148"/>
      <c r="AM291" s="2493">
        <v>291</v>
      </c>
    </row>
    <row r="292" spans="1:39" ht="15.75" customHeight="1">
      <c r="C292" s="2106" t="s">
        <v>4922</v>
      </c>
      <c r="O292" s="2103">
        <v>0</v>
      </c>
      <c r="P292" s="2225"/>
      <c r="AM292" s="2493">
        <v>292</v>
      </c>
    </row>
    <row r="293" spans="1:39" ht="15" customHeight="1">
      <c r="C293" s="2106" t="s">
        <v>4925</v>
      </c>
      <c r="O293" s="2017" t="s">
        <v>2644</v>
      </c>
      <c r="P293" s="2239"/>
      <c r="AM293" s="2493">
        <v>293</v>
      </c>
    </row>
    <row r="294" spans="1:39" ht="15.95" customHeight="1">
      <c r="A294" s="2110" t="s">
        <v>697</v>
      </c>
      <c r="B294" s="2118" t="s">
        <v>4921</v>
      </c>
      <c r="G294" s="2139"/>
      <c r="I294" s="2143"/>
      <c r="L294" s="2209" t="s">
        <v>4896</v>
      </c>
      <c r="M294" s="2109">
        <v>3</v>
      </c>
      <c r="N294" s="2145"/>
      <c r="O294" s="2012"/>
      <c r="P294" s="2236"/>
      <c r="Q294" s="2147" t="str">
        <f>IF(OR($O294&lt;=$M294,$O294=""),"","*CHECK!*")</f>
        <v/>
      </c>
      <c r="R294" s="2148"/>
      <c r="AM294" s="2492">
        <v>294</v>
      </c>
    </row>
    <row r="295" spans="1:39" ht="15.75" customHeight="1">
      <c r="C295" s="2106" t="s">
        <v>4994</v>
      </c>
      <c r="O295" s="2097"/>
      <c r="P295" s="2098"/>
      <c r="AM295" s="2493">
        <v>295</v>
      </c>
    </row>
    <row r="296" spans="1:39" ht="9.75" customHeight="1">
      <c r="AM296" s="2492">
        <v>296</v>
      </c>
    </row>
    <row r="297" spans="1:39" ht="15.95" customHeight="1">
      <c r="A297" s="2107"/>
      <c r="B297" s="2129" t="s">
        <v>4847</v>
      </c>
      <c r="C297" s="2107"/>
      <c r="D297" s="2107"/>
      <c r="E297" s="2107"/>
      <c r="F297" s="2107"/>
      <c r="G297" s="2107"/>
      <c r="H297" s="2107"/>
      <c r="I297" s="2107"/>
      <c r="J297" s="2107"/>
      <c r="K297" s="2107"/>
      <c r="M297" s="2109"/>
      <c r="O297" s="2120"/>
      <c r="AM297" s="2492">
        <v>297</v>
      </c>
    </row>
    <row r="298" spans="1:39" ht="39" customHeight="1">
      <c r="A298" s="3902" t="s">
        <v>5175</v>
      </c>
      <c r="B298" s="3831"/>
      <c r="C298" s="3831"/>
      <c r="D298" s="3831"/>
      <c r="E298" s="3831"/>
      <c r="F298" s="3831"/>
      <c r="G298" s="3831"/>
      <c r="H298" s="3831"/>
      <c r="I298" s="3831"/>
      <c r="J298" s="3831"/>
      <c r="K298" s="3831"/>
      <c r="L298" s="3831"/>
      <c r="M298" s="3831"/>
      <c r="N298" s="3831"/>
      <c r="O298" s="3831"/>
      <c r="P298" s="3832"/>
      <c r="Q298" s="2190"/>
      <c r="AM298" s="2492">
        <v>298</v>
      </c>
    </row>
    <row r="299" spans="1:39" ht="15.95" customHeight="1">
      <c r="B299" s="2168" t="s">
        <v>1725</v>
      </c>
      <c r="C299" s="2169"/>
      <c r="D299" s="2168"/>
      <c r="E299" s="2170"/>
      <c r="F299" s="2159"/>
      <c r="G299" s="2159"/>
      <c r="H299" s="2159"/>
      <c r="I299" s="2159"/>
      <c r="J299" s="2159"/>
      <c r="K299" s="2159"/>
      <c r="L299" s="2159"/>
      <c r="M299" s="2159"/>
      <c r="N299" s="2171"/>
      <c r="O299" s="2172"/>
      <c r="P299" s="2110"/>
      <c r="AM299" s="2492">
        <v>299</v>
      </c>
    </row>
    <row r="300" spans="1:39" ht="15.95" customHeight="1">
      <c r="A300" s="3806"/>
      <c r="B300" s="3807"/>
      <c r="C300" s="3807"/>
      <c r="D300" s="3807"/>
      <c r="E300" s="3807"/>
      <c r="F300" s="3807"/>
      <c r="G300" s="3807"/>
      <c r="H300" s="3807"/>
      <c r="I300" s="3807"/>
      <c r="J300" s="3807"/>
      <c r="K300" s="3807"/>
      <c r="L300" s="3807"/>
      <c r="M300" s="3807"/>
      <c r="N300" s="3807"/>
      <c r="O300" s="3807"/>
      <c r="P300" s="3808"/>
      <c r="Q300" s="2173"/>
      <c r="AM300" s="2493">
        <v>300</v>
      </c>
    </row>
    <row r="301" spans="1:39" ht="9.75" customHeight="1">
      <c r="AM301" s="2493">
        <v>301</v>
      </c>
    </row>
    <row r="302" spans="1:39" ht="9.75" customHeight="1" thickBot="1">
      <c r="AM302" s="2493">
        <v>302</v>
      </c>
    </row>
    <row r="303" spans="1:39" s="2107" customFormat="1" ht="15.95" customHeight="1" thickBot="1">
      <c r="A303" s="2130" t="s">
        <v>3285</v>
      </c>
      <c r="B303" s="2131" t="s">
        <v>4850</v>
      </c>
      <c r="D303" s="2131"/>
      <c r="E303" s="2131"/>
      <c r="G303" s="2174"/>
      <c r="J303" s="2175" t="str">
        <f>IF(OR($O$206&gt;0,$O$238&gt;0,$O$265&gt;0),"Points already claimed in another restricted section!","")</f>
        <v>Points already claimed in another restricted section!</v>
      </c>
      <c r="K303" s="2175" t="str">
        <f>IF(AND(O303&gt;0,NOT($F$12="New Affordability")), "Not New Affordability!","")</f>
        <v/>
      </c>
      <c r="L303" s="2140" t="s">
        <v>4896</v>
      </c>
      <c r="M303" s="2110">
        <v>10</v>
      </c>
      <c r="N303" s="2109"/>
      <c r="O303" s="2141">
        <f>IF(OR($J$12="Atlanta Metro",O$206&gt;0,O$238&gt;0,O$265&gt;0),0,IF(AND($F$12="New Affordability",$O$12="9%",O309+O310&lt;=$M303),O309+O310,0))</f>
        <v>0</v>
      </c>
      <c r="P303" s="2141">
        <f>IF(AND($H$12="New Affordability",NOT($L$12="Atlanta Metro"),$O$12="9%",P309+P310&lt;=$M303),P309+P310,0)</f>
        <v>0</v>
      </c>
      <c r="Q303" s="2142" t="s">
        <v>415</v>
      </c>
      <c r="R303" s="2442" t="s">
        <v>4998</v>
      </c>
      <c r="S303" s="2104"/>
      <c r="T303" s="2104"/>
      <c r="U303" s="2104"/>
      <c r="V303" s="2443" t="str">
        <f>$C$16</f>
        <v>Stable Communities</v>
      </c>
      <c r="AM303" s="2493">
        <v>303</v>
      </c>
    </row>
    <row r="304" spans="1:39" s="2107" customFormat="1" ht="3.75" customHeight="1">
      <c r="A304" s="2130"/>
      <c r="B304" s="2131"/>
      <c r="D304" s="2131"/>
      <c r="E304" s="2131"/>
      <c r="L304" s="2175"/>
      <c r="M304" s="2110"/>
      <c r="N304" s="2109"/>
      <c r="O304" s="2120"/>
      <c r="P304" s="2120"/>
      <c r="Q304" s="2142"/>
      <c r="R304" s="2148"/>
      <c r="S304" s="2104"/>
      <c r="T304" s="2104"/>
      <c r="U304" s="2104"/>
      <c r="V304" s="2106"/>
      <c r="W304" s="2106"/>
      <c r="X304" s="2106"/>
      <c r="AM304" s="2492">
        <v>304</v>
      </c>
    </row>
    <row r="305" spans="1:48" s="2107" customFormat="1" ht="15.95" customHeight="1">
      <c r="A305" s="2130"/>
      <c r="C305" s="2296" t="s">
        <v>4912</v>
      </c>
      <c r="D305" s="2297"/>
      <c r="E305" s="2297"/>
      <c r="F305" s="2298"/>
      <c r="G305" s="2298"/>
      <c r="H305" s="2298"/>
      <c r="I305" s="2298"/>
      <c r="J305" s="2299" t="s">
        <v>2880</v>
      </c>
      <c r="K305" s="2300" t="s">
        <v>245</v>
      </c>
      <c r="L305" s="2301"/>
      <c r="M305" s="2110"/>
      <c r="N305" s="2109"/>
      <c r="O305" s="2120"/>
      <c r="P305" s="2120"/>
      <c r="Q305" s="2142"/>
      <c r="R305" s="2148"/>
      <c r="S305" s="2104"/>
      <c r="T305" s="2104"/>
      <c r="U305" s="2104"/>
      <c r="V305" s="2106"/>
      <c r="W305" s="2106"/>
      <c r="X305" s="2106"/>
      <c r="AM305" s="2493">
        <v>305</v>
      </c>
    </row>
    <row r="306" spans="1:48" s="2107" customFormat="1" ht="15.95" customHeight="1">
      <c r="A306" s="2130"/>
      <c r="B306" s="2131"/>
      <c r="C306" s="2302"/>
      <c r="D306" s="2107" t="s">
        <v>3308</v>
      </c>
      <c r="E306" s="2131"/>
      <c r="J306" s="2303">
        <f>MAX(O206,O212+O222+O229)</f>
        <v>0</v>
      </c>
      <c r="K306" s="2304">
        <f>MAX(P206,P212+P222+P229)</f>
        <v>0</v>
      </c>
      <c r="L306" s="2305"/>
      <c r="M306" s="3944" t="str">
        <f>$J$12</f>
        <v>Atlanta Metro</v>
      </c>
      <c r="N306" s="3873"/>
      <c r="O306" s="3873"/>
      <c r="P306" s="3873"/>
      <c r="Q306" s="2142"/>
      <c r="R306" s="2148"/>
      <c r="S306" s="2104"/>
      <c r="T306" s="2104"/>
      <c r="U306" s="2104"/>
      <c r="V306" s="2106"/>
      <c r="W306" s="2106"/>
      <c r="X306" s="2106"/>
      <c r="AM306" s="2492">
        <v>306</v>
      </c>
    </row>
    <row r="307" spans="1:48" s="2107" customFormat="1" ht="15.95" customHeight="1">
      <c r="A307" s="2130"/>
      <c r="B307" s="2131"/>
      <c r="C307" s="2302"/>
      <c r="D307" s="2107" t="s">
        <v>3911</v>
      </c>
      <c r="E307" s="2131"/>
      <c r="J307" s="2306">
        <f>MAX($J$251,$O$238)</f>
        <v>9</v>
      </c>
      <c r="K307" s="2307">
        <f>MAX($K$251,$P$238)</f>
        <v>0</v>
      </c>
      <c r="L307" s="2305"/>
      <c r="M307" s="2110"/>
      <c r="N307" s="2109"/>
      <c r="O307" s="2120"/>
      <c r="P307" s="2120"/>
      <c r="Q307" s="2142"/>
      <c r="R307" s="2148"/>
      <c r="S307" s="2104"/>
      <c r="T307" s="2104"/>
      <c r="U307" s="2104"/>
      <c r="V307" s="2106"/>
      <c r="W307" s="2106"/>
      <c r="X307" s="2106"/>
      <c r="AM307" s="2492">
        <v>307</v>
      </c>
    </row>
    <row r="308" spans="1:48" s="2107" customFormat="1" ht="3.75" customHeight="1">
      <c r="A308" s="2130"/>
      <c r="B308" s="2131"/>
      <c r="C308" s="2308"/>
      <c r="D308" s="2309"/>
      <c r="E308" s="2309"/>
      <c r="F308" s="2310"/>
      <c r="G308" s="2310"/>
      <c r="H308" s="2310"/>
      <c r="I308" s="2310"/>
      <c r="J308" s="2310"/>
      <c r="K308" s="2310"/>
      <c r="L308" s="2311"/>
      <c r="M308" s="2110"/>
      <c r="N308" s="2109"/>
      <c r="O308" s="2120"/>
      <c r="P308" s="2120"/>
      <c r="Q308" s="2142"/>
      <c r="R308" s="2148"/>
      <c r="S308" s="2104"/>
      <c r="T308" s="2104"/>
      <c r="U308" s="2104"/>
      <c r="V308" s="2106"/>
      <c r="W308" s="2106"/>
      <c r="X308" s="2106"/>
      <c r="AM308" s="2492">
        <v>308</v>
      </c>
    </row>
    <row r="309" spans="1:48" ht="15.95" customHeight="1">
      <c r="A309" s="2110" t="s">
        <v>1836</v>
      </c>
      <c r="B309" s="2182" t="s">
        <v>4923</v>
      </c>
      <c r="D309" s="2161"/>
      <c r="E309" s="2161"/>
      <c r="F309" s="2161"/>
      <c r="G309" s="2161"/>
      <c r="H309" s="2161"/>
      <c r="L309" s="2144" t="str">
        <f t="shared" ref="L309:L310" si="9">IF(OR($O309=$M309,$O309=0,$O309=""),"","* * Check Score! * *")</f>
        <v/>
      </c>
      <c r="M309" s="2135">
        <v>5</v>
      </c>
      <c r="N309" s="2145"/>
      <c r="O309" s="2008"/>
      <c r="P309" s="2277"/>
      <c r="Q309" s="2016"/>
      <c r="R309" s="2104"/>
      <c r="S309" s="2104"/>
      <c r="T309" s="2104"/>
      <c r="U309" s="2104"/>
      <c r="V309" s="2104"/>
      <c r="AM309" s="2492">
        <v>309</v>
      </c>
    </row>
    <row r="310" spans="1:48" ht="15.95" customHeight="1">
      <c r="A310" s="2110" t="s">
        <v>1838</v>
      </c>
      <c r="B310" s="2182" t="s">
        <v>4924</v>
      </c>
      <c r="D310" s="2161"/>
      <c r="J310" s="2318" t="str">
        <f>IF(AND(O309=$M309,OR((O207+O222+O229)&gt;=5,J251&gt;=5)),"Eligible","Currently not eligible")</f>
        <v>Currently not eligible</v>
      </c>
      <c r="L310" s="2144" t="e">
        <f t="shared" si="9"/>
        <v>#VALUE!</v>
      </c>
      <c r="M310" s="2135">
        <v>5</v>
      </c>
      <c r="N310" s="2145"/>
      <c r="O310" s="2155" t="e">
        <f>IF(AND($C$16="Housing Needs Characteristics + Stable Communities Characteristics",O309=$M309,J251&gt;=5),MIN(J251,$M$310),IF(AND($C$16="Housing Needs Characteristics + Revitalization Characteristics",O309=$M309,O207+O222+O23&gt;=5),MIN(O207+O222+O229,$M$310),0))</f>
        <v>#VALUE!</v>
      </c>
      <c r="P310" s="2155">
        <f>IF(AND($H$16="Housing Needs Characteristics + Stable Communities Characteristics",P309=$M309,K251&gt;=5),MIN(K251,$M$310),IF(AND($H$16="Housing Needs Characteristics + Revitalization Characteristics",P309=$M309,P207+P222+P23&gt;=5),MIN(P207+P222+P229,$M$310),0))</f>
        <v>0</v>
      </c>
      <c r="Q310" s="2016"/>
      <c r="R310" s="2104"/>
      <c r="S310" s="2104"/>
      <c r="T310" s="2104"/>
      <c r="U310" s="2104"/>
      <c r="V310" s="2104"/>
      <c r="AM310" s="2493">
        <v>310</v>
      </c>
    </row>
    <row r="311" spans="1:48" ht="15.95" customHeight="1">
      <c r="A311" s="2107"/>
      <c r="B311" s="2129" t="s">
        <v>4847</v>
      </c>
      <c r="C311" s="2107"/>
      <c r="D311" s="2107"/>
      <c r="E311" s="2107"/>
      <c r="F311" s="2107"/>
      <c r="G311" s="2107"/>
      <c r="H311" s="2107"/>
      <c r="I311" s="2107"/>
      <c r="J311" s="2107"/>
      <c r="K311" s="2107"/>
      <c r="M311" s="2109"/>
      <c r="O311" s="2120"/>
      <c r="R311" s="2104"/>
      <c r="S311" s="2104"/>
      <c r="T311" s="2104"/>
      <c r="U311" s="2104"/>
      <c r="V311" s="2104"/>
      <c r="AM311" s="2493">
        <v>311</v>
      </c>
    </row>
    <row r="312" spans="1:48" ht="15.95" customHeight="1">
      <c r="A312" s="3830" t="s">
        <v>1607</v>
      </c>
      <c r="B312" s="3831"/>
      <c r="C312" s="3831"/>
      <c r="D312" s="3831"/>
      <c r="E312" s="3831"/>
      <c r="F312" s="3831"/>
      <c r="G312" s="3831"/>
      <c r="H312" s="3831"/>
      <c r="I312" s="3831"/>
      <c r="J312" s="3831"/>
      <c r="K312" s="3831"/>
      <c r="L312" s="3831"/>
      <c r="M312" s="3831"/>
      <c r="N312" s="3831"/>
      <c r="O312" s="3831"/>
      <c r="P312" s="3832"/>
      <c r="Q312" s="2190"/>
      <c r="AM312" s="2493">
        <v>312</v>
      </c>
    </row>
    <row r="313" spans="1:48" ht="15.95" customHeight="1">
      <c r="A313" s="2107"/>
      <c r="B313" s="2168" t="s">
        <v>1725</v>
      </c>
      <c r="C313" s="2107"/>
      <c r="D313" s="2168"/>
      <c r="E313" s="2159"/>
      <c r="F313" s="2159"/>
      <c r="G313" s="2159"/>
      <c r="H313" s="2159"/>
      <c r="I313" s="2159"/>
      <c r="J313" s="2159"/>
      <c r="K313" s="2159"/>
      <c r="L313" s="2159"/>
      <c r="M313" s="2159"/>
      <c r="N313" s="2171"/>
      <c r="O313" s="2172"/>
      <c r="P313" s="2110"/>
      <c r="AM313" s="2493">
        <v>313</v>
      </c>
    </row>
    <row r="314" spans="1:48" ht="15.95" customHeight="1">
      <c r="A314" s="3806"/>
      <c r="B314" s="3807"/>
      <c r="C314" s="3807"/>
      <c r="D314" s="3807"/>
      <c r="E314" s="3807"/>
      <c r="F314" s="3807"/>
      <c r="G314" s="3807"/>
      <c r="H314" s="3807"/>
      <c r="I314" s="3807"/>
      <c r="J314" s="3807"/>
      <c r="K314" s="3807"/>
      <c r="L314" s="3807"/>
      <c r="M314" s="3807"/>
      <c r="N314" s="3807"/>
      <c r="O314" s="3807"/>
      <c r="P314" s="3808"/>
      <c r="Q314" s="2173"/>
      <c r="AM314" s="2492">
        <v>314</v>
      </c>
    </row>
    <row r="315" spans="1:48" ht="9.75" customHeight="1">
      <c r="AM315" s="2492">
        <v>315</v>
      </c>
    </row>
    <row r="316" spans="1:48" ht="9.75" customHeight="1" thickBot="1">
      <c r="AM316" s="2493">
        <v>316</v>
      </c>
      <c r="AO316" s="2302"/>
    </row>
    <row r="317" spans="1:48" s="2107" customFormat="1" ht="15.95" customHeight="1" thickBot="1">
      <c r="A317" s="2130" t="s">
        <v>3286</v>
      </c>
      <c r="B317" s="2131" t="s">
        <v>4851</v>
      </c>
      <c r="D317" s="2131"/>
      <c r="E317" s="2131"/>
      <c r="G317" s="2107" t="str">
        <f>$J$12</f>
        <v>Atlanta Metro</v>
      </c>
      <c r="J317" s="2144" t="str">
        <f t="shared" ref="J317" si="10">IF(OR($O317=$M317,$O317=0,$O317=""),"","* * Check Score! * *")</f>
        <v/>
      </c>
      <c r="L317" s="2175" t="str">
        <f>IF(AND(O317&gt;0,$J$12="Atlanta Metro"), "Atlanta Metro is ineligible to score in this section!","")</f>
        <v/>
      </c>
      <c r="M317" s="2110">
        <v>1</v>
      </c>
      <c r="N317" s="2109"/>
      <c r="O317" s="2044"/>
      <c r="P317" s="2282"/>
      <c r="Q317" s="2142" t="s">
        <v>415</v>
      </c>
      <c r="R317" s="2104"/>
      <c r="S317" s="2104"/>
      <c r="T317" s="2104"/>
      <c r="U317" s="2104"/>
      <c r="V317" s="2104"/>
      <c r="AM317" s="2493">
        <v>317</v>
      </c>
    </row>
    <row r="318" spans="1:48" s="2107" customFormat="1" ht="15.95" hidden="1" customHeight="1">
      <c r="A318" s="2130"/>
      <c r="B318" s="2131"/>
      <c r="D318" s="2131"/>
      <c r="E318" s="2131"/>
      <c r="M318" s="2177"/>
      <c r="Q318" s="2142"/>
      <c r="R318" s="2104"/>
      <c r="S318" s="2104"/>
      <c r="T318" s="2104"/>
      <c r="U318" s="2104"/>
      <c r="V318" s="2104"/>
      <c r="W318" s="2106"/>
      <c r="X318" s="2106"/>
      <c r="AM318" s="2493">
        <v>318</v>
      </c>
    </row>
    <row r="319" spans="1:48" s="2107" customFormat="1" ht="15.95" customHeight="1">
      <c r="A319" s="2130"/>
      <c r="B319" s="2131"/>
      <c r="C319" s="2107" t="s">
        <v>4933</v>
      </c>
      <c r="D319" s="2131"/>
      <c r="E319" s="2131"/>
      <c r="L319" s="3945" t="s">
        <v>4935</v>
      </c>
      <c r="M319" s="3945"/>
      <c r="O319" s="3945" t="s">
        <v>4936</v>
      </c>
      <c r="P319" s="3945"/>
      <c r="Q319" s="2142"/>
      <c r="R319" s="2104"/>
      <c r="S319" s="2104"/>
      <c r="T319" s="2104"/>
      <c r="U319" s="2104"/>
      <c r="V319" s="2104"/>
      <c r="W319" s="2106"/>
      <c r="X319" s="2106"/>
      <c r="AM319" s="2493">
        <v>319</v>
      </c>
    </row>
    <row r="320" spans="1:48" s="2107" customFormat="1" ht="15.95" customHeight="1">
      <c r="A320" s="2130"/>
      <c r="C320" s="2107" t="s">
        <v>4934</v>
      </c>
      <c r="D320" s="2131"/>
      <c r="E320" s="2131"/>
      <c r="F320" s="2107" t="s">
        <v>4121</v>
      </c>
      <c r="I320" s="2107" t="s">
        <v>574</v>
      </c>
      <c r="K320" s="2109" t="s">
        <v>4744</v>
      </c>
      <c r="L320" s="3945"/>
      <c r="M320" s="3945"/>
      <c r="O320" s="3945"/>
      <c r="P320" s="3945"/>
      <c r="Q320" s="2142"/>
      <c r="R320" s="2104"/>
      <c r="S320" s="2104"/>
      <c r="T320" s="2104"/>
      <c r="U320" s="2104"/>
      <c r="V320" s="2104"/>
      <c r="W320" s="2106"/>
      <c r="X320" s="2106"/>
      <c r="AM320" s="2492">
        <v>320</v>
      </c>
      <c r="AV320" s="2302"/>
    </row>
    <row r="321" spans="1:39" s="2107" customFormat="1" ht="15.95" customHeight="1">
      <c r="A321" s="2130"/>
      <c r="B321" s="2290" t="s">
        <v>1839</v>
      </c>
      <c r="C321" s="3954"/>
      <c r="D321" s="3954"/>
      <c r="E321" s="3954"/>
      <c r="F321" s="3954"/>
      <c r="G321" s="3954"/>
      <c r="H321" s="3954"/>
      <c r="I321" s="3955"/>
      <c r="J321" s="3955"/>
      <c r="K321" s="2383"/>
      <c r="L321" s="3956"/>
      <c r="M321" s="3956"/>
      <c r="N321" s="2287"/>
      <c r="O321" s="3957"/>
      <c r="P321" s="3957"/>
      <c r="Q321" s="2142"/>
      <c r="R321" s="2104"/>
      <c r="S321" s="2104"/>
      <c r="T321" s="2104"/>
      <c r="U321" s="2104"/>
      <c r="V321" s="2104"/>
      <c r="W321" s="2106"/>
      <c r="X321" s="2106"/>
      <c r="AM321" s="2493">
        <v>321</v>
      </c>
    </row>
    <row r="322" spans="1:39" s="2107" customFormat="1" ht="15.95" customHeight="1">
      <c r="A322" s="2130"/>
      <c r="B322" s="2149" t="s">
        <v>1841</v>
      </c>
      <c r="C322" s="3958"/>
      <c r="D322" s="3958"/>
      <c r="E322" s="3958"/>
      <c r="F322" s="3958"/>
      <c r="G322" s="3958"/>
      <c r="H322" s="3958"/>
      <c r="I322" s="3959"/>
      <c r="J322" s="3959"/>
      <c r="K322" s="2384"/>
      <c r="L322" s="3960"/>
      <c r="M322" s="3960"/>
      <c r="N322" s="2287"/>
      <c r="O322" s="3961"/>
      <c r="P322" s="3961"/>
      <c r="Q322" s="2142"/>
      <c r="R322" s="2104"/>
      <c r="S322" s="2104"/>
      <c r="T322" s="2104"/>
      <c r="U322" s="2104"/>
      <c r="V322" s="2104"/>
      <c r="W322" s="2106"/>
      <c r="X322" s="2106"/>
      <c r="AM322" s="2492">
        <v>322</v>
      </c>
    </row>
    <row r="323" spans="1:39" s="2107" customFormat="1" ht="15.95" customHeight="1">
      <c r="A323" s="2130"/>
      <c r="B323" s="2149" t="s">
        <v>2326</v>
      </c>
      <c r="C323" s="3958"/>
      <c r="D323" s="3958"/>
      <c r="E323" s="3958"/>
      <c r="F323" s="3958"/>
      <c r="G323" s="3958"/>
      <c r="H323" s="3958"/>
      <c r="I323" s="3959"/>
      <c r="J323" s="3959"/>
      <c r="K323" s="2384"/>
      <c r="L323" s="3960"/>
      <c r="M323" s="3960"/>
      <c r="N323" s="2287"/>
      <c r="O323" s="3961"/>
      <c r="P323" s="3961"/>
      <c r="Q323" s="2142"/>
      <c r="R323" s="2104"/>
      <c r="S323" s="2104"/>
      <c r="T323" s="2104"/>
      <c r="U323" s="2104"/>
      <c r="V323" s="2104"/>
      <c r="W323" s="2106"/>
      <c r="X323" s="2106"/>
      <c r="AM323" s="2492">
        <v>323</v>
      </c>
    </row>
    <row r="324" spans="1:39" s="2107" customFormat="1" ht="15.95" customHeight="1">
      <c r="A324" s="2130"/>
      <c r="B324" s="2149" t="s">
        <v>1149</v>
      </c>
      <c r="C324" s="3970"/>
      <c r="D324" s="3970"/>
      <c r="E324" s="3970"/>
      <c r="F324" s="3970"/>
      <c r="G324" s="3970"/>
      <c r="H324" s="3970"/>
      <c r="I324" s="3971"/>
      <c r="J324" s="3971"/>
      <c r="K324" s="2385"/>
      <c r="L324" s="3972"/>
      <c r="M324" s="3972"/>
      <c r="N324" s="2287"/>
      <c r="O324" s="3973"/>
      <c r="P324" s="3973"/>
      <c r="Q324" s="2142"/>
      <c r="R324" s="2104"/>
      <c r="S324" s="2104"/>
      <c r="T324" s="2104"/>
      <c r="U324" s="2104"/>
      <c r="V324" s="2104"/>
      <c r="W324" s="2106"/>
      <c r="X324" s="2106"/>
      <c r="AM324" s="2492">
        <v>324</v>
      </c>
    </row>
    <row r="325" spans="1:39" ht="15.95" customHeight="1">
      <c r="A325" s="2107"/>
      <c r="B325" s="2129" t="s">
        <v>4847</v>
      </c>
      <c r="C325" s="2107"/>
      <c r="D325" s="2107"/>
      <c r="E325" s="2107"/>
      <c r="F325" s="2107"/>
      <c r="G325" s="2107"/>
      <c r="H325" s="2107"/>
      <c r="I325" s="2107"/>
      <c r="J325" s="2107"/>
      <c r="K325" s="2107"/>
      <c r="M325" s="2109"/>
      <c r="O325" s="2120"/>
      <c r="R325" s="2104"/>
      <c r="S325" s="2104"/>
      <c r="T325" s="2104"/>
      <c r="U325" s="2104"/>
      <c r="V325" s="2104"/>
      <c r="AM325" s="2492">
        <v>325</v>
      </c>
    </row>
    <row r="326" spans="1:39" ht="15.95" customHeight="1">
      <c r="A326" s="3830" t="s">
        <v>5176</v>
      </c>
      <c r="B326" s="3831"/>
      <c r="C326" s="3831"/>
      <c r="D326" s="3831"/>
      <c r="E326" s="3831"/>
      <c r="F326" s="3831"/>
      <c r="G326" s="3831"/>
      <c r="H326" s="3831"/>
      <c r="I326" s="3831"/>
      <c r="J326" s="3831"/>
      <c r="K326" s="3831"/>
      <c r="L326" s="3831"/>
      <c r="M326" s="3831"/>
      <c r="N326" s="3831"/>
      <c r="O326" s="3831"/>
      <c r="P326" s="3832"/>
      <c r="Q326" s="2190"/>
      <c r="AM326" s="2492">
        <v>326</v>
      </c>
    </row>
    <row r="327" spans="1:39" ht="15.95" customHeight="1">
      <c r="A327" s="2107"/>
      <c r="B327" s="2168" t="s">
        <v>1725</v>
      </c>
      <c r="C327" s="2107"/>
      <c r="D327" s="2168"/>
      <c r="E327" s="2159"/>
      <c r="F327" s="2159"/>
      <c r="G327" s="2159"/>
      <c r="H327" s="2159"/>
      <c r="I327" s="2159"/>
      <c r="J327" s="2159"/>
      <c r="K327" s="2159"/>
      <c r="L327" s="2159"/>
      <c r="M327" s="2159"/>
      <c r="N327" s="2171"/>
      <c r="O327" s="2172"/>
      <c r="P327" s="2110"/>
      <c r="AM327" s="2492">
        <v>327</v>
      </c>
    </row>
    <row r="328" spans="1:39" ht="15.95" customHeight="1">
      <c r="A328" s="3806"/>
      <c r="B328" s="3807"/>
      <c r="C328" s="3807"/>
      <c r="D328" s="3807"/>
      <c r="E328" s="3807"/>
      <c r="F328" s="3807"/>
      <c r="G328" s="3807"/>
      <c r="H328" s="3807"/>
      <c r="I328" s="3807"/>
      <c r="J328" s="3807"/>
      <c r="K328" s="3807"/>
      <c r="L328" s="3807"/>
      <c r="M328" s="3807"/>
      <c r="N328" s="3807"/>
      <c r="O328" s="3807"/>
      <c r="P328" s="3808"/>
      <c r="Q328" s="2173"/>
      <c r="AM328" s="2493">
        <v>328</v>
      </c>
    </row>
    <row r="329" spans="1:39" ht="9.75" customHeight="1">
      <c r="A329" s="2107"/>
      <c r="D329" s="2107"/>
      <c r="E329" s="2107"/>
      <c r="F329" s="2110"/>
      <c r="G329" s="2110"/>
      <c r="H329" s="2110"/>
      <c r="I329" s="2110"/>
      <c r="J329" s="2139"/>
      <c r="K329" s="2139"/>
      <c r="L329" s="2139"/>
      <c r="M329" s="2109"/>
      <c r="N329" s="2110"/>
      <c r="P329" s="2120"/>
      <c r="AM329" s="2493">
        <v>329</v>
      </c>
    </row>
    <row r="330" spans="1:39" ht="9.75" customHeight="1" thickBot="1">
      <c r="A330" s="2107"/>
      <c r="D330" s="2107"/>
      <c r="E330" s="2107"/>
      <c r="F330" s="2110"/>
      <c r="G330" s="2110"/>
      <c r="H330" s="2110"/>
      <c r="I330" s="2110"/>
      <c r="J330" s="2139"/>
      <c r="K330" s="2139"/>
      <c r="L330" s="2139"/>
      <c r="M330" s="2109"/>
      <c r="N330" s="2110"/>
      <c r="P330" s="2120"/>
      <c r="AM330" s="2493">
        <v>330</v>
      </c>
    </row>
    <row r="331" spans="1:39" ht="15.95" customHeight="1" thickBot="1">
      <c r="A331" s="2130" t="s">
        <v>3289</v>
      </c>
      <c r="B331" s="2221" t="s">
        <v>3907</v>
      </c>
      <c r="M331" s="2110">
        <v>1</v>
      </c>
      <c r="O331" s="2141">
        <f>IF(AND($F$12="New Affordability",$O$12="9%"),IF(O332+O333&gt;$M331,"Choose",MIN($M331,SUM(O332:O333))),0)</f>
        <v>1</v>
      </c>
      <c r="P331" s="2141">
        <f>IF(AND($H$12="New Affordability",$O$12="9%"),IF(P332+P333&gt;$M331,"Choose",MIN($M331,SUM(P332:P333))),0)</f>
        <v>0</v>
      </c>
      <c r="Q331" s="2142" t="s">
        <v>415</v>
      </c>
      <c r="R331" s="2148" t="str">
        <f>IF(AND(O331&gt;0,NOT($F$12="New Affordability")), "Ineligible to score in this section, not New Affordability!","")</f>
        <v/>
      </c>
      <c r="AM331" s="2492">
        <v>331</v>
      </c>
    </row>
    <row r="332" spans="1:39" ht="15.95" customHeight="1">
      <c r="A332" s="2110" t="s">
        <v>1836</v>
      </c>
      <c r="B332" s="2191" t="s">
        <v>4926</v>
      </c>
      <c r="G332" s="2212" t="s">
        <v>3068</v>
      </c>
      <c r="H332" s="2319">
        <f>IF('Part V-Revenues &amp; Expenses'!$P$67=0,0,'Part V-Revenues &amp; Expenses'!$P$64/'Part V-Revenues &amp; Expenses'!$P$67)</f>
        <v>0.25</v>
      </c>
      <c r="L332" s="2144" t="str">
        <f t="shared" ref="L332:L333" si="11">IF(OR($O332=$M332,$O332=0,$O332=""),"","* * Check Score! * *")</f>
        <v/>
      </c>
      <c r="M332" s="2109">
        <v>1</v>
      </c>
      <c r="N332" s="2145"/>
      <c r="O332" s="2012">
        <v>1</v>
      </c>
      <c r="P332" s="2236"/>
      <c r="Q332" s="2147" t="str">
        <f>IF(OR($O332=$M332,$O332=0,$O332=""),"","*CHECK!*")</f>
        <v/>
      </c>
      <c r="R332" s="2148"/>
      <c r="AM332" s="2492">
        <v>332</v>
      </c>
    </row>
    <row r="333" spans="1:39" ht="15.95" customHeight="1">
      <c r="A333" s="2110" t="s">
        <v>1838</v>
      </c>
      <c r="B333" s="2191" t="s">
        <v>3690</v>
      </c>
      <c r="G333" s="3962" t="str">
        <f>'Part V-Revenues &amp; Expenses'!$O$53</f>
        <v>40% of Units at 60% of AMI</v>
      </c>
      <c r="H333" s="3963"/>
      <c r="L333" s="2144" t="str">
        <f t="shared" si="11"/>
        <v/>
      </c>
      <c r="M333" s="2127">
        <v>1</v>
      </c>
      <c r="N333" s="2145"/>
      <c r="O333" s="2001"/>
      <c r="P333" s="2237"/>
      <c r="Q333" s="2147" t="str">
        <f>IF(OR($O333=$M333,$O333=0,$O333=""),"","*CHECK!*")</f>
        <v/>
      </c>
      <c r="R333" s="2148"/>
      <c r="AM333" s="2493">
        <v>333</v>
      </c>
    </row>
    <row r="334" spans="1:39" ht="15.95" hidden="1" customHeight="1">
      <c r="A334" s="2191"/>
      <c r="B334" s="2149"/>
      <c r="M334" s="2109"/>
      <c r="O334" s="2110"/>
      <c r="P334" s="2110"/>
      <c r="AM334" s="2492">
        <v>334</v>
      </c>
    </row>
    <row r="335" spans="1:39" ht="15.95" customHeight="1">
      <c r="A335" s="2107"/>
      <c r="B335" s="2168" t="s">
        <v>1725</v>
      </c>
      <c r="C335" s="2107"/>
      <c r="D335" s="2168"/>
      <c r="E335" s="2159"/>
      <c r="F335" s="2159"/>
      <c r="G335" s="2159"/>
      <c r="H335" s="2159"/>
      <c r="I335" s="2159"/>
      <c r="J335" s="2159"/>
      <c r="K335" s="2159"/>
      <c r="L335" s="2159"/>
      <c r="M335" s="2159"/>
      <c r="N335" s="2171"/>
      <c r="O335" s="2172"/>
      <c r="P335" s="2110"/>
      <c r="AM335" s="2492">
        <v>335</v>
      </c>
    </row>
    <row r="336" spans="1:39" ht="15.95" customHeight="1">
      <c r="A336" s="3806"/>
      <c r="B336" s="3807"/>
      <c r="C336" s="3807"/>
      <c r="D336" s="3807"/>
      <c r="E336" s="3807"/>
      <c r="F336" s="3807"/>
      <c r="G336" s="3807"/>
      <c r="H336" s="3807"/>
      <c r="I336" s="3807"/>
      <c r="J336" s="3807"/>
      <c r="K336" s="3807"/>
      <c r="L336" s="3807"/>
      <c r="M336" s="3807"/>
      <c r="N336" s="3807"/>
      <c r="O336" s="3807"/>
      <c r="P336" s="3808"/>
      <c r="Q336" s="2173"/>
      <c r="AM336" s="2493">
        <v>336</v>
      </c>
    </row>
    <row r="337" spans="1:39" ht="9.75" customHeight="1">
      <c r="A337" s="2107"/>
      <c r="D337" s="2107"/>
      <c r="E337" s="2107"/>
      <c r="F337" s="2110"/>
      <c r="G337" s="2110"/>
      <c r="H337" s="2110"/>
      <c r="I337" s="2110"/>
      <c r="J337" s="2139"/>
      <c r="K337" s="2139"/>
      <c r="L337" s="2139"/>
      <c r="M337" s="2109"/>
      <c r="N337" s="2110"/>
      <c r="P337" s="2120"/>
      <c r="AM337" s="2493">
        <v>337</v>
      </c>
    </row>
    <row r="338" spans="1:39" ht="9.75" customHeight="1" thickBot="1">
      <c r="A338" s="2107"/>
      <c r="B338" s="2107"/>
      <c r="C338" s="2159"/>
      <c r="D338" s="2159"/>
      <c r="E338" s="2159"/>
      <c r="F338" s="2159"/>
      <c r="G338" s="2159"/>
      <c r="H338" s="2159"/>
      <c r="I338" s="2159"/>
      <c r="J338" s="2159"/>
      <c r="K338" s="2159"/>
      <c r="L338" s="2159"/>
      <c r="M338" s="2159"/>
      <c r="N338" s="2171"/>
      <c r="O338" s="2172"/>
      <c r="P338" s="2110"/>
      <c r="AM338" s="2493">
        <v>338</v>
      </c>
    </row>
    <row r="339" spans="1:39" ht="15.95" customHeight="1" thickBot="1">
      <c r="A339" s="2130" t="s">
        <v>3290</v>
      </c>
      <c r="B339" s="2131" t="s">
        <v>2462</v>
      </c>
      <c r="D339" s="2139"/>
      <c r="G339" s="2159"/>
      <c r="H339" s="2159"/>
      <c r="I339" s="2159"/>
      <c r="J339" s="2159"/>
      <c r="K339" s="2159"/>
      <c r="L339" s="2159"/>
      <c r="M339" s="2110">
        <v>2</v>
      </c>
      <c r="N339" s="2145"/>
      <c r="O339" s="2141">
        <f>IF(AND($F$12="New Affordability",$O$12="9%"),MIN($M339,O341+O343),0)</f>
        <v>0</v>
      </c>
      <c r="P339" s="2141">
        <f>IF(AND($H$12="New Affordability",$O$12="9%"),MIN($M339,P341+P343),0)</f>
        <v>0</v>
      </c>
      <c r="Q339" s="2142" t="s">
        <v>415</v>
      </c>
      <c r="R339" s="2148" t="str">
        <f>IF(AND(O339&gt;0,NOT($F$12="New Affordability")), "Ineligible to score in this section, not New Affordability!","")</f>
        <v/>
      </c>
      <c r="AM339" s="2493">
        <v>339</v>
      </c>
    </row>
    <row r="340" spans="1:39" s="2162" customFormat="1" ht="15.95" customHeight="1">
      <c r="A340" s="2221"/>
      <c r="E340" s="2312" t="s">
        <v>2988</v>
      </c>
      <c r="G340" s="3964" t="s">
        <v>3763</v>
      </c>
      <c r="H340" s="3965"/>
      <c r="I340" s="3965"/>
      <c r="J340" s="3965"/>
      <c r="K340" s="3965"/>
      <c r="L340" s="3966"/>
      <c r="M340" s="2163"/>
      <c r="N340" s="2163"/>
      <c r="O340" s="2163"/>
      <c r="P340" s="2163"/>
      <c r="Q340" s="2107"/>
      <c r="AM340" s="2492">
        <v>340</v>
      </c>
    </row>
    <row r="341" spans="1:39" s="2162" customFormat="1" ht="15.95" customHeight="1">
      <c r="A341" s="2194" t="s">
        <v>1836</v>
      </c>
      <c r="B341" s="2118" t="s">
        <v>3831</v>
      </c>
      <c r="L341" s="2144" t="str">
        <f t="shared" ref="L341" si="12">IF(OR($O341=$M341,$O341=0,$O341=""),"","* * Check Score! * *")</f>
        <v/>
      </c>
      <c r="M341" s="2163">
        <v>2</v>
      </c>
      <c r="N341" s="2164"/>
      <c r="O341" s="2012"/>
      <c r="P341" s="2236"/>
      <c r="Q341" s="2147" t="str">
        <f>IF(OR($O341=$M341,$O341=0,$O341=""),"","*CHECK!*")</f>
        <v/>
      </c>
      <c r="R341" s="2148"/>
      <c r="AM341" s="2493">
        <v>341</v>
      </c>
    </row>
    <row r="342" spans="1:39" ht="15.95" customHeight="1">
      <c r="A342" s="2183"/>
      <c r="B342" s="3967" t="s">
        <v>3328</v>
      </c>
      <c r="C342" s="3968"/>
      <c r="D342" s="3968"/>
      <c r="E342" s="3968"/>
      <c r="F342" s="3968"/>
      <c r="G342" s="3968"/>
      <c r="H342" s="3968"/>
      <c r="I342" s="3968"/>
      <c r="J342" s="3968"/>
      <c r="K342" s="3968"/>
      <c r="L342" s="3968"/>
      <c r="M342" s="3968"/>
      <c r="N342" s="3968"/>
      <c r="O342" s="3968"/>
      <c r="P342" s="3969"/>
      <c r="Q342" s="2173"/>
      <c r="R342" s="2190"/>
      <c r="S342" s="2190"/>
      <c r="AM342" s="2492">
        <v>342</v>
      </c>
    </row>
    <row r="343" spans="1:39" s="2162" customFormat="1" ht="15.95" customHeight="1">
      <c r="A343" s="2315" t="s">
        <v>1838</v>
      </c>
      <c r="B343" s="2272" t="s">
        <v>3832</v>
      </c>
      <c r="L343" s="2144" t="str">
        <f t="shared" ref="L343" si="13">IF(OR($O343=$M343,$O343=0,$O343=""),"","* * Check Score! * *")</f>
        <v/>
      </c>
      <c r="M343" s="2163">
        <v>2</v>
      </c>
      <c r="N343" s="2164"/>
      <c r="O343" s="2001"/>
      <c r="P343" s="2237"/>
      <c r="Q343" s="2147" t="str">
        <f>IF(OR($O343=$M343,$O343=0,$O343=""),"","*CHECK!*")</f>
        <v/>
      </c>
      <c r="R343" s="2148"/>
      <c r="AM343" s="2492">
        <v>343</v>
      </c>
    </row>
    <row r="344" spans="1:39" ht="15.95" customHeight="1">
      <c r="A344" s="2107"/>
      <c r="B344" s="2129" t="s">
        <v>4847</v>
      </c>
      <c r="C344" s="2107"/>
      <c r="D344" s="2107"/>
      <c r="E344" s="2107"/>
      <c r="F344" s="2107"/>
      <c r="G344" s="2107"/>
      <c r="H344" s="2107"/>
      <c r="I344" s="2107"/>
      <c r="J344" s="2107"/>
      <c r="K344" s="2107"/>
      <c r="M344" s="2109"/>
      <c r="O344" s="2120"/>
      <c r="AM344" s="2492">
        <v>344</v>
      </c>
    </row>
    <row r="345" spans="1:39" ht="15.95" customHeight="1">
      <c r="A345" s="3902" t="s">
        <v>1607</v>
      </c>
      <c r="B345" s="3831"/>
      <c r="C345" s="3831"/>
      <c r="D345" s="3831"/>
      <c r="E345" s="3831"/>
      <c r="F345" s="3831"/>
      <c r="G345" s="3831"/>
      <c r="H345" s="3831"/>
      <c r="I345" s="3831"/>
      <c r="J345" s="3831"/>
      <c r="K345" s="3831"/>
      <c r="L345" s="3831"/>
      <c r="M345" s="3831"/>
      <c r="N345" s="3831"/>
      <c r="O345" s="3831"/>
      <c r="P345" s="3832"/>
      <c r="Q345" s="2190"/>
      <c r="R345" s="2190"/>
      <c r="AM345" s="2492">
        <v>345</v>
      </c>
    </row>
    <row r="346" spans="1:39" ht="15.95" customHeight="1">
      <c r="B346" s="2168" t="s">
        <v>1725</v>
      </c>
      <c r="C346" s="2169"/>
      <c r="D346" s="2168"/>
      <c r="E346" s="2170"/>
      <c r="F346" s="2159"/>
      <c r="G346" s="2159"/>
      <c r="H346" s="2159"/>
      <c r="I346" s="2159"/>
      <c r="J346" s="2159"/>
      <c r="K346" s="2159"/>
      <c r="L346" s="2159"/>
      <c r="M346" s="2159"/>
      <c r="N346" s="2171"/>
      <c r="O346" s="2172"/>
      <c r="P346" s="2110"/>
      <c r="AM346" s="2493">
        <v>346</v>
      </c>
    </row>
    <row r="347" spans="1:39" ht="15.95" customHeight="1">
      <c r="A347" s="3806"/>
      <c r="B347" s="3807"/>
      <c r="C347" s="3807"/>
      <c r="D347" s="3807"/>
      <c r="E347" s="3807"/>
      <c r="F347" s="3807"/>
      <c r="G347" s="3807"/>
      <c r="H347" s="3807"/>
      <c r="I347" s="3807"/>
      <c r="J347" s="3807"/>
      <c r="K347" s="3807"/>
      <c r="L347" s="3807"/>
      <c r="M347" s="3807"/>
      <c r="N347" s="3807"/>
      <c r="O347" s="3807"/>
      <c r="P347" s="3808"/>
      <c r="Q347" s="2173"/>
      <c r="AM347" s="2493">
        <v>347</v>
      </c>
    </row>
    <row r="348" spans="1:39" ht="9.75" customHeight="1">
      <c r="A348" s="2107"/>
      <c r="B348" s="2107"/>
      <c r="C348" s="2159"/>
      <c r="D348" s="2159"/>
      <c r="E348" s="2159"/>
      <c r="F348" s="2159"/>
      <c r="G348" s="2159"/>
      <c r="H348" s="2159"/>
      <c r="I348" s="2159"/>
      <c r="J348" s="2159"/>
      <c r="K348" s="2159"/>
      <c r="L348" s="2159"/>
      <c r="M348" s="2159"/>
      <c r="N348" s="2171"/>
      <c r="O348" s="2172"/>
      <c r="P348" s="2110"/>
      <c r="AM348" s="2493">
        <v>348</v>
      </c>
    </row>
    <row r="349" spans="1:39" ht="9.75" customHeight="1" thickBot="1">
      <c r="A349" s="2107"/>
      <c r="D349" s="2107"/>
      <c r="E349" s="2107"/>
      <c r="F349" s="2110"/>
      <c r="G349" s="2110"/>
      <c r="H349" s="2110"/>
      <c r="I349" s="2110"/>
      <c r="J349" s="2139"/>
      <c r="K349" s="2139"/>
      <c r="L349" s="2139"/>
      <c r="M349" s="2109"/>
      <c r="N349" s="2110"/>
      <c r="P349" s="2120"/>
      <c r="AM349" s="2493">
        <v>349</v>
      </c>
    </row>
    <row r="350" spans="1:39" s="2107" customFormat="1" ht="15.95" customHeight="1" thickBot="1">
      <c r="A350" s="2130" t="s">
        <v>3291</v>
      </c>
      <c r="B350" s="2131" t="s">
        <v>4480</v>
      </c>
      <c r="D350" s="2131"/>
      <c r="E350" s="2131"/>
      <c r="G350" s="2174"/>
      <c r="M350" s="2110">
        <v>2</v>
      </c>
      <c r="N350" s="2109"/>
      <c r="O350" s="2141">
        <f>IF($O$12="9%",IF(OR(O351=$M351,O352=$M352),$M$350,0),0)</f>
        <v>2</v>
      </c>
      <c r="P350" s="2141">
        <f>IF($O$12="9%",IF(OR(P351=$M351,P352=$M352),$M$350,0),0)</f>
        <v>0</v>
      </c>
      <c r="Q350" s="2142" t="s">
        <v>415</v>
      </c>
      <c r="R350" s="2104"/>
      <c r="S350" s="2104"/>
      <c r="T350" s="2104"/>
      <c r="U350" s="2104"/>
      <c r="V350" s="2104"/>
      <c r="AM350" s="2492">
        <v>350</v>
      </c>
    </row>
    <row r="351" spans="1:39" ht="15.95" customHeight="1">
      <c r="A351" s="2110" t="s">
        <v>1836</v>
      </c>
      <c r="B351" s="2182" t="s">
        <v>4481</v>
      </c>
      <c r="D351" s="2161"/>
      <c r="E351" s="2211" t="s">
        <v>4492</v>
      </c>
      <c r="F351" s="2161"/>
      <c r="G351" s="2161"/>
      <c r="H351" s="3978"/>
      <c r="I351" s="3979"/>
      <c r="J351" s="3979"/>
      <c r="K351" s="3980"/>
      <c r="L351" s="2144" t="str">
        <f t="shared" ref="L351:L352" si="14">IF(OR($O351=$M351,$O351=0,$O351=""),"","* * Check Score! * *")</f>
        <v/>
      </c>
      <c r="M351" s="2127">
        <v>2</v>
      </c>
      <c r="N351" s="2145"/>
      <c r="O351" s="2012"/>
      <c r="P351" s="2236"/>
      <c r="Q351" s="2183" t="str">
        <f>IF(OR(O351=0,O351="",O351=$M351),"","Check!")</f>
        <v/>
      </c>
      <c r="R351" s="2148"/>
      <c r="S351" s="2104"/>
      <c r="T351" s="2104"/>
      <c r="U351" s="2104"/>
      <c r="V351" s="2104"/>
      <c r="AM351" s="2493">
        <v>351</v>
      </c>
    </row>
    <row r="352" spans="1:39" ht="15.95" customHeight="1">
      <c r="A352" s="2110" t="s">
        <v>1838</v>
      </c>
      <c r="B352" s="2182" t="s">
        <v>4482</v>
      </c>
      <c r="L352" s="2144" t="str">
        <f t="shared" si="14"/>
        <v/>
      </c>
      <c r="M352" s="2127">
        <v>2</v>
      </c>
      <c r="N352" s="2145"/>
      <c r="O352" s="2001">
        <v>2</v>
      </c>
      <c r="P352" s="2237"/>
      <c r="Q352" s="2183" t="str">
        <f>IF(OR(O352=0,O352="",O352=$M352),"","Check!")</f>
        <v/>
      </c>
      <c r="R352" s="2148"/>
      <c r="S352" s="2104"/>
      <c r="T352" s="2104"/>
      <c r="U352" s="2104"/>
      <c r="V352" s="2104"/>
      <c r="AM352" s="2492">
        <v>352</v>
      </c>
    </row>
    <row r="353" spans="1:39" ht="15.95" customHeight="1">
      <c r="A353" s="2107"/>
      <c r="B353" s="2129" t="s">
        <v>4847</v>
      </c>
      <c r="C353" s="2107"/>
      <c r="D353" s="2107"/>
      <c r="E353" s="2107"/>
      <c r="F353" s="2107"/>
      <c r="G353" s="2107"/>
      <c r="H353" s="2107"/>
      <c r="I353" s="2107"/>
      <c r="J353" s="2107"/>
      <c r="K353" s="2107"/>
      <c r="M353" s="2109"/>
      <c r="O353" s="2120"/>
      <c r="R353" s="2104"/>
      <c r="S353" s="2104"/>
      <c r="T353" s="2104"/>
      <c r="U353" s="2104"/>
      <c r="V353" s="2104"/>
      <c r="AM353" s="2492">
        <v>353</v>
      </c>
    </row>
    <row r="354" spans="1:39" ht="15.95" customHeight="1">
      <c r="A354" s="3830" t="s">
        <v>5180</v>
      </c>
      <c r="B354" s="3831"/>
      <c r="C354" s="3831"/>
      <c r="D354" s="3831"/>
      <c r="E354" s="3831"/>
      <c r="F354" s="3831"/>
      <c r="G354" s="3831"/>
      <c r="H354" s="3831"/>
      <c r="I354" s="3831"/>
      <c r="J354" s="3831"/>
      <c r="K354" s="3831"/>
      <c r="L354" s="3831"/>
      <c r="M354" s="3831"/>
      <c r="N354" s="3831"/>
      <c r="O354" s="3831"/>
      <c r="P354" s="3832"/>
      <c r="Q354" s="2190"/>
      <c r="AM354" s="2492">
        <v>354</v>
      </c>
    </row>
    <row r="355" spans="1:39" ht="15.95" customHeight="1">
      <c r="A355" s="2107"/>
      <c r="B355" s="2168" t="s">
        <v>1725</v>
      </c>
      <c r="C355" s="2107"/>
      <c r="D355" s="2168"/>
      <c r="E355" s="2159"/>
      <c r="F355" s="2159"/>
      <c r="G355" s="2159"/>
      <c r="H355" s="2159"/>
      <c r="I355" s="2159"/>
      <c r="J355" s="2159"/>
      <c r="K355" s="2159"/>
      <c r="L355" s="2159"/>
      <c r="M355" s="2159"/>
      <c r="N355" s="2171"/>
      <c r="O355" s="2172"/>
      <c r="P355" s="2110"/>
      <c r="AM355" s="2492">
        <v>355</v>
      </c>
    </row>
    <row r="356" spans="1:39" ht="15.95" customHeight="1">
      <c r="A356" s="3806"/>
      <c r="B356" s="3807"/>
      <c r="C356" s="3807"/>
      <c r="D356" s="3807"/>
      <c r="E356" s="3807"/>
      <c r="F356" s="3807"/>
      <c r="G356" s="3807"/>
      <c r="H356" s="3807"/>
      <c r="I356" s="3807"/>
      <c r="J356" s="3807"/>
      <c r="K356" s="3807"/>
      <c r="L356" s="3807"/>
      <c r="M356" s="3807"/>
      <c r="N356" s="3807"/>
      <c r="O356" s="3807"/>
      <c r="P356" s="3808"/>
      <c r="Q356" s="2173"/>
      <c r="AM356" s="2493">
        <v>356</v>
      </c>
    </row>
    <row r="357" spans="1:39" ht="9.75" customHeight="1">
      <c r="A357" s="2107"/>
      <c r="D357" s="2107"/>
      <c r="E357" s="2107"/>
      <c r="F357" s="2110"/>
      <c r="G357" s="2110"/>
      <c r="H357" s="2110"/>
      <c r="I357" s="2110"/>
      <c r="J357" s="2139"/>
      <c r="K357" s="2139"/>
      <c r="L357" s="2139"/>
      <c r="M357" s="2109"/>
      <c r="N357" s="2110"/>
      <c r="P357" s="2120"/>
      <c r="AM357" s="2493">
        <v>357</v>
      </c>
    </row>
    <row r="358" spans="1:39" ht="9.75" customHeight="1" thickBot="1">
      <c r="AM358" s="2493">
        <v>358</v>
      </c>
    </row>
    <row r="359" spans="1:39" ht="15.95" customHeight="1" thickBot="1">
      <c r="A359" s="2221" t="s">
        <v>3292</v>
      </c>
      <c r="B359" s="2131" t="s">
        <v>1553</v>
      </c>
      <c r="D359" s="2191"/>
      <c r="E359" s="2191"/>
      <c r="G359" s="2107"/>
      <c r="L359" s="2256" t="str">
        <f>IF(AND(O359&gt;0,NOT($O$12="9%")),"Ineligible, not 9%!","")</f>
        <v/>
      </c>
      <c r="M359" s="2110">
        <v>2</v>
      </c>
      <c r="N359" s="2144"/>
      <c r="O359" s="2044"/>
      <c r="P359" s="2282"/>
      <c r="Q359" s="2142" t="s">
        <v>415</v>
      </c>
      <c r="R359" s="2320"/>
      <c r="S359" s="2320"/>
      <c r="AM359" s="2493">
        <v>359</v>
      </c>
    </row>
    <row r="360" spans="1:39" ht="15.95" customHeight="1">
      <c r="A360" s="2126"/>
      <c r="B360" s="2238" t="s">
        <v>3069</v>
      </c>
      <c r="D360" s="2191"/>
      <c r="E360" s="2191"/>
      <c r="G360" s="2107"/>
      <c r="I360" s="3964" t="s">
        <v>3962</v>
      </c>
      <c r="J360" s="3965"/>
      <c r="K360" s="3965"/>
      <c r="L360" s="3966"/>
      <c r="M360" s="2109"/>
      <c r="N360" s="2109"/>
      <c r="O360" s="2127"/>
      <c r="P360" s="2127"/>
      <c r="Q360" s="2147"/>
      <c r="R360" s="2320"/>
      <c r="S360" s="2320"/>
      <c r="AM360" s="2492">
        <v>360</v>
      </c>
    </row>
    <row r="361" spans="1:39" ht="15.95" hidden="1" customHeight="1">
      <c r="B361" s="2238"/>
      <c r="D361" s="2107"/>
      <c r="E361" s="2107"/>
      <c r="F361" s="2107"/>
      <c r="G361" s="2107"/>
      <c r="H361" s="2107"/>
      <c r="I361" s="2107"/>
      <c r="J361" s="2107"/>
      <c r="K361" s="2107"/>
      <c r="L361" s="2107"/>
      <c r="M361" s="2107"/>
      <c r="N361" s="2145"/>
      <c r="O361" s="2145"/>
      <c r="P361" s="2145"/>
      <c r="AM361" s="2493">
        <v>361</v>
      </c>
    </row>
    <row r="362" spans="1:39" s="2107" customFormat="1" ht="15.95" customHeight="1">
      <c r="B362" s="2129" t="s">
        <v>4847</v>
      </c>
      <c r="L362" s="2106"/>
      <c r="M362" s="2109"/>
      <c r="N362" s="2127"/>
      <c r="O362" s="2120"/>
      <c r="P362" s="2119"/>
      <c r="AM362" s="2492">
        <v>362</v>
      </c>
    </row>
    <row r="363" spans="1:39" ht="15.95" customHeight="1">
      <c r="A363" s="3902" t="s">
        <v>905</v>
      </c>
      <c r="B363" s="3831"/>
      <c r="C363" s="3831"/>
      <c r="D363" s="3831"/>
      <c r="E363" s="3831"/>
      <c r="F363" s="3831"/>
      <c r="G363" s="3831"/>
      <c r="H363" s="3831"/>
      <c r="I363" s="3831"/>
      <c r="J363" s="3831"/>
      <c r="K363" s="3831"/>
      <c r="L363" s="3831"/>
      <c r="M363" s="3831"/>
      <c r="N363" s="3831"/>
      <c r="O363" s="3831"/>
      <c r="P363" s="3832"/>
      <c r="Q363" s="2190"/>
      <c r="AM363" s="2492">
        <v>363</v>
      </c>
    </row>
    <row r="364" spans="1:39" s="2107" customFormat="1" ht="15.95" customHeight="1">
      <c r="B364" s="2218" t="s">
        <v>1725</v>
      </c>
      <c r="D364" s="2218"/>
      <c r="E364" s="2157"/>
      <c r="F364" s="2157"/>
      <c r="G364" s="2157"/>
      <c r="H364" s="2157"/>
      <c r="I364" s="2157"/>
      <c r="J364" s="2157"/>
      <c r="K364" s="2157"/>
      <c r="L364" s="2157"/>
      <c r="M364" s="2157"/>
      <c r="N364" s="2220"/>
      <c r="O364" s="2135"/>
      <c r="P364" s="2110"/>
      <c r="Q364" s="2106"/>
      <c r="AM364" s="2492">
        <v>364</v>
      </c>
    </row>
    <row r="365" spans="1:39" ht="15.95" customHeight="1">
      <c r="A365" s="3806"/>
      <c r="B365" s="3807"/>
      <c r="C365" s="3807"/>
      <c r="D365" s="3807"/>
      <c r="E365" s="3807"/>
      <c r="F365" s="3807"/>
      <c r="G365" s="3807"/>
      <c r="H365" s="3807"/>
      <c r="I365" s="3807"/>
      <c r="J365" s="3807"/>
      <c r="K365" s="3807"/>
      <c r="L365" s="3807"/>
      <c r="M365" s="3807"/>
      <c r="N365" s="3807"/>
      <c r="O365" s="3807"/>
      <c r="P365" s="3808"/>
      <c r="Q365" s="2173"/>
      <c r="AM365" s="2492">
        <v>365</v>
      </c>
    </row>
    <row r="366" spans="1:39" ht="9.75" customHeight="1">
      <c r="AM366" s="2492">
        <v>366</v>
      </c>
    </row>
    <row r="367" spans="1:39" ht="9.75" customHeight="1" thickBot="1">
      <c r="A367" s="2221"/>
      <c r="B367" s="2107"/>
      <c r="C367" s="2159"/>
      <c r="D367" s="2159"/>
      <c r="E367" s="2159"/>
      <c r="F367" s="2159"/>
      <c r="G367" s="2159"/>
      <c r="H367" s="2159"/>
      <c r="I367" s="2159"/>
      <c r="J367" s="2159"/>
      <c r="K367" s="2159"/>
      <c r="L367" s="2159"/>
      <c r="M367" s="2159"/>
      <c r="N367" s="2171"/>
      <c r="O367" s="2172"/>
      <c r="P367" s="2110"/>
      <c r="AM367" s="2492">
        <v>367</v>
      </c>
    </row>
    <row r="368" spans="1:39" s="2107" customFormat="1" ht="15.95" customHeight="1" thickBot="1">
      <c r="A368" s="2221" t="s">
        <v>3293</v>
      </c>
      <c r="B368" s="2131" t="s">
        <v>4852</v>
      </c>
      <c r="D368" s="2131"/>
      <c r="E368" s="2131"/>
      <c r="I368" s="2256" t="str">
        <f>IF(AND($O368&gt;0,NOT($F$12="Preservation")),"Ineligible, not Preservation!","")</f>
        <v/>
      </c>
      <c r="M368" s="2110"/>
      <c r="N368" s="2109"/>
      <c r="O368" s="2321">
        <f>IF($F$12="Preservation",O370+O373+O374+O375+O384+O399,0)</f>
        <v>0</v>
      </c>
      <c r="P368" s="2321">
        <f>IF($H$12="Preservation",P370+P371+P373+P374+P375+P384+P399,0)</f>
        <v>0</v>
      </c>
      <c r="Q368" s="2142" t="s">
        <v>415</v>
      </c>
      <c r="R368" s="2148"/>
      <c r="AM368" s="2493">
        <v>368</v>
      </c>
    </row>
    <row r="369" spans="1:39" ht="7.5" customHeight="1">
      <c r="A369" s="2221"/>
      <c r="B369" s="2107"/>
      <c r="C369" s="2159"/>
      <c r="D369" s="2159"/>
      <c r="E369" s="2159"/>
      <c r="F369" s="2159"/>
      <c r="G369" s="2159"/>
      <c r="H369" s="2159"/>
      <c r="J369" s="2159"/>
      <c r="K369" s="2159"/>
      <c r="L369" s="2159"/>
      <c r="M369" s="2159"/>
      <c r="N369" s="2171"/>
      <c r="O369" s="2172"/>
      <c r="P369" s="2172"/>
      <c r="AM369" s="2493">
        <v>369</v>
      </c>
    </row>
    <row r="370" spans="1:39" s="2107" customFormat="1" ht="15.95" customHeight="1">
      <c r="A370" s="2110" t="s">
        <v>1836</v>
      </c>
      <c r="B370" s="2118" t="s">
        <v>4034</v>
      </c>
      <c r="D370" s="2131"/>
      <c r="E370" s="2131"/>
      <c r="L370" s="2209" t="s">
        <v>4896</v>
      </c>
      <c r="M370" s="2110">
        <v>6</v>
      </c>
      <c r="N370" s="2109"/>
      <c r="O370" s="2010"/>
      <c r="P370" s="2227"/>
      <c r="Q370" s="2142"/>
      <c r="R370" s="2148"/>
      <c r="AM370" s="2492">
        <v>370</v>
      </c>
    </row>
    <row r="371" spans="1:39" s="2107" customFormat="1" ht="15.95" customHeight="1">
      <c r="A371" s="2257" t="s">
        <v>1838</v>
      </c>
      <c r="B371" s="2118" t="s">
        <v>4738</v>
      </c>
      <c r="D371" s="2131"/>
      <c r="E371" s="2131"/>
      <c r="F371" s="2232" t="s">
        <v>4946</v>
      </c>
      <c r="K371" s="2147" t="str">
        <f>IF(OR($O371=$M371,$O371=0,$O371=""),"","*CHECK!*")</f>
        <v/>
      </c>
      <c r="L371" s="2209" t="s">
        <v>4896</v>
      </c>
      <c r="M371" s="2110">
        <v>6</v>
      </c>
      <c r="N371" s="2109"/>
      <c r="O371" s="2109"/>
      <c r="P371" s="2236"/>
      <c r="Q371" s="2142"/>
      <c r="R371" s="2148"/>
      <c r="AM371" s="2492">
        <v>371</v>
      </c>
    </row>
    <row r="372" spans="1:39" s="2107" customFormat="1" ht="15.95" customHeight="1">
      <c r="A372" s="2221"/>
      <c r="B372" s="2107" t="s">
        <v>4710</v>
      </c>
      <c r="D372" s="2131"/>
      <c r="E372" s="2131"/>
      <c r="F372" s="2123"/>
      <c r="L372" s="2147"/>
      <c r="M372" s="2110"/>
      <c r="N372" s="2109"/>
      <c r="O372" s="2014"/>
      <c r="P372" s="2154"/>
      <c r="Q372" s="2142"/>
      <c r="R372" s="2148"/>
      <c r="AM372" s="2493">
        <v>372</v>
      </c>
    </row>
    <row r="373" spans="1:39" s="2162" customFormat="1" ht="15.95" customHeight="1">
      <c r="A373" s="2110" t="s">
        <v>697</v>
      </c>
      <c r="B373" s="2272" t="s">
        <v>4036</v>
      </c>
      <c r="C373" s="2264"/>
      <c r="D373" s="2264"/>
      <c r="E373" s="2264"/>
      <c r="F373" s="2264"/>
      <c r="H373" s="2264"/>
      <c r="I373" s="2264"/>
      <c r="J373" s="2125"/>
      <c r="K373" s="2125"/>
      <c r="L373" s="2209" t="s">
        <v>4896</v>
      </c>
      <c r="M373" s="2109">
        <v>4</v>
      </c>
      <c r="N373" s="2229"/>
      <c r="O373" s="2010"/>
      <c r="P373" s="2227"/>
      <c r="Q373" s="2147"/>
      <c r="R373" s="2148"/>
      <c r="AM373" s="2493">
        <v>373</v>
      </c>
    </row>
    <row r="374" spans="1:39" ht="15.95" customHeight="1">
      <c r="A374" s="2110" t="s">
        <v>1957</v>
      </c>
      <c r="B374" s="2118" t="s">
        <v>4035</v>
      </c>
      <c r="E374" s="2191"/>
      <c r="F374" s="2107"/>
      <c r="G374" s="2107"/>
      <c r="H374" s="2107"/>
      <c r="K374" s="2109"/>
      <c r="L374" s="2209" t="s">
        <v>4896</v>
      </c>
      <c r="M374" s="2109">
        <v>4</v>
      </c>
      <c r="N374" s="2229"/>
      <c r="O374" s="2010"/>
      <c r="P374" s="2227"/>
      <c r="Q374" s="2147"/>
      <c r="R374" s="2148"/>
      <c r="AM374" s="2493">
        <v>374</v>
      </c>
    </row>
    <row r="375" spans="1:39" s="2107" customFormat="1" ht="15.95" customHeight="1">
      <c r="A375" s="2110" t="s">
        <v>1609</v>
      </c>
      <c r="B375" s="2118" t="s">
        <v>4853</v>
      </c>
      <c r="D375" s="2131"/>
      <c r="F375" s="2232" t="s">
        <v>4940</v>
      </c>
      <c r="K375" s="2256" t="str">
        <f>IF(AND($O375&gt;0,NOT($F$12="Preservation")),"Ineligible, not Preservation!","")</f>
        <v/>
      </c>
      <c r="L375" s="2209" t="s">
        <v>4896</v>
      </c>
      <c r="M375" s="2110">
        <v>20</v>
      </c>
      <c r="N375" s="2109"/>
      <c r="O375" s="2155">
        <f>IF($F$12="Preservation",MIN($M375,(J377+J378+J379)),0)</f>
        <v>0</v>
      </c>
      <c r="P375" s="2155">
        <f>IF($H$12="Preservation",MIN($M375,(K377+K378+K379)),0)</f>
        <v>0</v>
      </c>
      <c r="Q375" s="2142"/>
      <c r="R375" s="2148"/>
      <c r="AM375" s="2493">
        <v>375</v>
      </c>
    </row>
    <row r="376" spans="1:39" s="2107" customFormat="1" ht="15.95" customHeight="1">
      <c r="A376" s="2110"/>
      <c r="B376" s="2118"/>
      <c r="C376" s="2296" t="s">
        <v>4995</v>
      </c>
      <c r="D376" s="2297"/>
      <c r="E376" s="2297"/>
      <c r="F376" s="2298"/>
      <c r="G376" s="2298"/>
      <c r="H376" s="2298"/>
      <c r="I376" s="2298"/>
      <c r="J376" s="2299" t="s">
        <v>2880</v>
      </c>
      <c r="K376" s="2300" t="s">
        <v>245</v>
      </c>
      <c r="L376" s="2431"/>
      <c r="M376" s="2110"/>
      <c r="N376" s="2109"/>
      <c r="O376" s="2430"/>
      <c r="P376" s="2120"/>
      <c r="Q376" s="2142"/>
      <c r="R376" s="2142"/>
      <c r="S376" s="2142"/>
      <c r="T376" s="2142"/>
      <c r="U376" s="2142"/>
      <c r="V376" s="2142"/>
      <c r="W376" s="2142"/>
      <c r="X376" s="2142"/>
      <c r="Y376" s="2142"/>
      <c r="Z376" s="2142"/>
      <c r="AA376" s="2142"/>
      <c r="AM376" s="2492">
        <v>376</v>
      </c>
    </row>
    <row r="377" spans="1:39" s="2107" customFormat="1" ht="15.95" customHeight="1">
      <c r="A377" s="2110"/>
      <c r="B377" s="2118"/>
      <c r="C377" s="2302"/>
      <c r="D377" s="2107" t="s">
        <v>3307</v>
      </c>
      <c r="E377" s="2131"/>
      <c r="J377" s="2303">
        <f>MAX(O160,O161-O162)</f>
        <v>20</v>
      </c>
      <c r="K377" s="2304">
        <f>MAX(P160,P161-P162)</f>
        <v>0</v>
      </c>
      <c r="L377" s="2432"/>
      <c r="M377" s="2110"/>
      <c r="N377" s="2109"/>
      <c r="O377" s="2430"/>
      <c r="P377" s="2120"/>
      <c r="Q377" s="2142"/>
      <c r="R377" s="2142"/>
      <c r="S377" s="2142"/>
      <c r="T377" s="2142"/>
      <c r="U377" s="2142"/>
      <c r="V377" s="2142"/>
      <c r="W377" s="2142"/>
      <c r="X377" s="2142"/>
      <c r="Y377" s="2142"/>
      <c r="Z377" s="2142"/>
      <c r="AA377" s="2142"/>
      <c r="AM377" s="2493">
        <v>377</v>
      </c>
    </row>
    <row r="378" spans="1:39" s="2107" customFormat="1" ht="15.95" customHeight="1">
      <c r="A378" s="2110"/>
      <c r="B378" s="2118"/>
      <c r="C378" s="2302"/>
      <c r="D378" s="2107" t="s">
        <v>3910</v>
      </c>
      <c r="E378" s="2131"/>
      <c r="J378" s="2303">
        <f>MAX(O169,O178+O179+O181+O182+O183)</f>
        <v>2</v>
      </c>
      <c r="K378" s="2304">
        <f>MAX(P169,P178+P179+P181+P182+P183)</f>
        <v>0</v>
      </c>
      <c r="L378" s="2432"/>
      <c r="M378" s="2110"/>
      <c r="N378" s="2109"/>
      <c r="O378" s="2430"/>
      <c r="P378" s="2120"/>
      <c r="Q378" s="2142"/>
      <c r="R378" s="2142"/>
      <c r="S378" s="2142"/>
      <c r="T378" s="2142"/>
      <c r="U378" s="2142"/>
      <c r="V378" s="2142"/>
      <c r="W378" s="2142"/>
      <c r="X378" s="2142"/>
      <c r="Y378" s="2142"/>
      <c r="Z378" s="2142"/>
      <c r="AA378" s="2142"/>
      <c r="AM378" s="2492">
        <v>378</v>
      </c>
    </row>
    <row r="379" spans="1:39" s="2107" customFormat="1" ht="15.95" customHeight="1">
      <c r="A379" s="2110"/>
      <c r="B379" s="2118"/>
      <c r="C379" s="2302"/>
      <c r="D379" s="2107" t="s">
        <v>3252</v>
      </c>
      <c r="F379" s="2232"/>
      <c r="J379" s="2433">
        <f>$O$190</f>
        <v>3</v>
      </c>
      <c r="K379" s="2434">
        <f>$P$190</f>
        <v>0</v>
      </c>
      <c r="L379" s="2432"/>
      <c r="M379" s="2110"/>
      <c r="N379" s="2109"/>
      <c r="O379" s="2430"/>
      <c r="P379" s="2120"/>
      <c r="Q379" s="2142"/>
      <c r="R379" s="2142"/>
      <c r="S379" s="2142"/>
      <c r="T379" s="2142"/>
      <c r="U379" s="2142"/>
      <c r="V379" s="2142"/>
      <c r="W379" s="2142"/>
      <c r="X379" s="2142"/>
      <c r="Y379" s="2142"/>
      <c r="Z379" s="2142"/>
      <c r="AA379" s="2142"/>
      <c r="AM379" s="2492">
        <v>379</v>
      </c>
    </row>
    <row r="380" spans="1:39" s="2107" customFormat="1" ht="15.95" customHeight="1">
      <c r="A380" s="2110"/>
      <c r="B380" s="2118"/>
      <c r="C380" s="2435" t="s">
        <v>4996</v>
      </c>
      <c r="F380" s="2232"/>
      <c r="I380" s="2246" t="s">
        <v>4997</v>
      </c>
      <c r="J380" s="2440">
        <f>MAX(J381:J383)</f>
        <v>9</v>
      </c>
      <c r="K380" s="2441">
        <f>MAX(K381:K383)</f>
        <v>0</v>
      </c>
      <c r="L380" s="2432"/>
      <c r="M380" s="2110"/>
      <c r="N380" s="2109"/>
      <c r="O380" s="2430"/>
      <c r="P380" s="2120"/>
      <c r="Q380" s="2142"/>
      <c r="R380" s="2142"/>
      <c r="S380" s="2142"/>
      <c r="T380" s="2142"/>
      <c r="U380" s="2142"/>
      <c r="V380" s="2142"/>
      <c r="W380" s="2142"/>
      <c r="X380" s="2142"/>
      <c r="Y380" s="2142"/>
      <c r="Z380" s="2142"/>
      <c r="AA380" s="2142"/>
      <c r="AM380" s="2492">
        <v>380</v>
      </c>
    </row>
    <row r="381" spans="1:39" s="2107" customFormat="1" ht="15.95" customHeight="1">
      <c r="A381" s="2110"/>
      <c r="B381" s="2118"/>
      <c r="C381" s="2302"/>
      <c r="D381" s="2107" t="s">
        <v>3308</v>
      </c>
      <c r="F381" s="2232"/>
      <c r="J381" s="2303">
        <f>MAX(O206,O212+O222+O229)</f>
        <v>0</v>
      </c>
      <c r="K381" s="2304">
        <f>MAX(P206,P212+P222+P229)</f>
        <v>0</v>
      </c>
      <c r="L381" s="2432"/>
      <c r="M381" s="2110"/>
      <c r="N381" s="2109"/>
      <c r="O381" s="2430"/>
      <c r="P381" s="2120"/>
      <c r="Q381" s="2142"/>
      <c r="R381" s="2142"/>
      <c r="S381" s="2142"/>
      <c r="T381" s="2142"/>
      <c r="U381" s="2142"/>
      <c r="V381" s="2142"/>
      <c r="W381" s="2142"/>
      <c r="X381" s="2142"/>
      <c r="Y381" s="2142"/>
      <c r="Z381" s="2142"/>
      <c r="AA381" s="2142"/>
      <c r="AM381" s="2492">
        <v>381</v>
      </c>
    </row>
    <row r="382" spans="1:39" s="2107" customFormat="1" ht="15.95" customHeight="1">
      <c r="A382" s="2110"/>
      <c r="B382" s="2118"/>
      <c r="C382" s="2302"/>
      <c r="D382" s="2107" t="s">
        <v>3911</v>
      </c>
      <c r="F382" s="2232"/>
      <c r="J382" s="2306">
        <f>MAX($J$251,$O$238)</f>
        <v>9</v>
      </c>
      <c r="K382" s="2307">
        <f>MAX($K$251,$P$238)</f>
        <v>0</v>
      </c>
      <c r="L382" s="2432"/>
      <c r="M382" s="2110"/>
      <c r="N382" s="2109"/>
      <c r="O382" s="2430"/>
      <c r="P382" s="2120"/>
      <c r="Q382" s="2142"/>
      <c r="R382" s="2142"/>
      <c r="S382" s="2142"/>
      <c r="T382" s="2142"/>
      <c r="U382" s="2142"/>
      <c r="V382" s="2142"/>
      <c r="W382" s="2142"/>
      <c r="X382" s="2142"/>
      <c r="Y382" s="2142"/>
      <c r="Z382" s="2142"/>
      <c r="AA382" s="2142"/>
      <c r="AM382" s="2492">
        <v>382</v>
      </c>
    </row>
    <row r="383" spans="1:39" s="2107" customFormat="1" ht="15.95" customHeight="1">
      <c r="A383" s="2110"/>
      <c r="B383" s="2118"/>
      <c r="C383" s="2308"/>
      <c r="D383" s="2310" t="s">
        <v>3179</v>
      </c>
      <c r="E383" s="2310"/>
      <c r="F383" s="2436"/>
      <c r="G383" s="2310"/>
      <c r="H383" s="2310"/>
      <c r="I383" s="2310"/>
      <c r="J383" s="2437">
        <f>$O$265</f>
        <v>0</v>
      </c>
      <c r="K383" s="2438">
        <f>$P$265</f>
        <v>0</v>
      </c>
      <c r="L383" s="2439"/>
      <c r="M383" s="2110"/>
      <c r="N383" s="2109"/>
      <c r="O383" s="2430"/>
      <c r="P383" s="2120"/>
      <c r="Q383" s="2142"/>
      <c r="R383" s="2142"/>
      <c r="S383" s="2142"/>
      <c r="T383" s="2142"/>
      <c r="U383" s="2142"/>
      <c r="V383" s="2142"/>
      <c r="W383" s="2142"/>
      <c r="X383" s="2142"/>
      <c r="Y383" s="2142"/>
      <c r="Z383" s="2142"/>
      <c r="AA383" s="2142"/>
      <c r="AM383" s="2492">
        <v>383</v>
      </c>
    </row>
    <row r="384" spans="1:39" s="2107" customFormat="1" ht="15.95" customHeight="1">
      <c r="A384" s="2110" t="s">
        <v>1610</v>
      </c>
      <c r="B384" s="2118" t="s">
        <v>4854</v>
      </c>
      <c r="D384" s="2131"/>
      <c r="G384" s="2143"/>
      <c r="K384" s="2147" t="str">
        <f>IF(OR($O384&lt;=$M384,$O384=0,$O384=""),"","*CHECK!*")</f>
        <v/>
      </c>
      <c r="L384" s="2145" t="s">
        <v>4896</v>
      </c>
      <c r="M384" s="2110">
        <v>22</v>
      </c>
      <c r="N384" s="2109"/>
      <c r="O384" s="2155">
        <f>IF($F$12="Preservation",IF(O385+O386+O387+O40&gt;$M384,"Check",O385+O386+O387+O399),0)</f>
        <v>0</v>
      </c>
      <c r="P384" s="2155">
        <f>IF($H$12="Preservation",IF(P385+P386+P387+P40&gt;$M384,"Check",P385+P386+P387+P399),0)</f>
        <v>0</v>
      </c>
      <c r="Q384" s="2142" t="s">
        <v>415</v>
      </c>
      <c r="R384" s="2148"/>
      <c r="AM384" s="2493">
        <v>384</v>
      </c>
    </row>
    <row r="385" spans="1:39" s="2107" customFormat="1" ht="15.95" customHeight="1">
      <c r="A385" s="2110"/>
      <c r="B385" s="2149"/>
      <c r="C385" s="2139" t="s">
        <v>4927</v>
      </c>
      <c r="H385" s="2322" t="s">
        <v>4939</v>
      </c>
      <c r="I385" s="2110"/>
      <c r="J385" s="2099"/>
      <c r="K385" s="2139"/>
      <c r="L385" s="2209" t="s">
        <v>4896</v>
      </c>
      <c r="M385" s="2212">
        <v>3</v>
      </c>
      <c r="N385" s="2145"/>
      <c r="O385" s="2012"/>
      <c r="P385" s="2236"/>
      <c r="Q385" s="2148"/>
      <c r="V385" s="2138"/>
      <c r="AM385" s="2493">
        <v>385</v>
      </c>
    </row>
    <row r="386" spans="1:39" s="2107" customFormat="1" ht="15" customHeight="1">
      <c r="A386" s="2110"/>
      <c r="B386" s="2152"/>
      <c r="C386" s="2162" t="s">
        <v>4928</v>
      </c>
      <c r="D386" s="2162"/>
      <c r="E386" s="2162"/>
      <c r="H386" s="2232" t="s">
        <v>4938</v>
      </c>
      <c r="I386" s="2162"/>
      <c r="J386" s="2100"/>
      <c r="K386" s="2162"/>
      <c r="L386" s="2209" t="s">
        <v>4896</v>
      </c>
      <c r="M386" s="2212">
        <v>3</v>
      </c>
      <c r="N386" s="2145"/>
      <c r="O386" s="2000"/>
      <c r="P386" s="2239"/>
      <c r="Q386" s="2145"/>
      <c r="V386" s="2138"/>
      <c r="AM386" s="2493">
        <v>386</v>
      </c>
    </row>
    <row r="387" spans="1:39" ht="15.95" customHeight="1">
      <c r="B387" s="2149"/>
      <c r="C387" s="2107" t="s">
        <v>4739</v>
      </c>
      <c r="F387" s="2232" t="s">
        <v>4929</v>
      </c>
      <c r="K387" s="2323" t="str">
        <f>IF(OR($O387="",$O$12="4%"),"","Ineligible!")</f>
        <v/>
      </c>
      <c r="L387" s="2209" t="s">
        <v>4896</v>
      </c>
      <c r="M387" s="2109">
        <v>10</v>
      </c>
      <c r="N387" s="2229"/>
      <c r="O387" s="2048"/>
      <c r="P387" s="2324"/>
      <c r="Q387" s="2147" t="str">
        <f>IF(OR($O387&lt;=$M387,$O387=0,$O387=""),"","*CHECK!*")</f>
        <v/>
      </c>
      <c r="R387" s="2148"/>
      <c r="AM387" s="2492">
        <v>387</v>
      </c>
    </row>
    <row r="388" spans="1:39" ht="15.95" customHeight="1">
      <c r="A388" s="2110"/>
      <c r="B388" s="2106" t="s">
        <v>1132</v>
      </c>
      <c r="D388" s="2106" t="s">
        <v>4743</v>
      </c>
      <c r="E388" s="2107"/>
      <c r="F388" s="2107"/>
      <c r="G388" s="2107" t="s">
        <v>4121</v>
      </c>
      <c r="H388" s="2107"/>
      <c r="I388" s="2107"/>
      <c r="J388" s="2107" t="s">
        <v>574</v>
      </c>
      <c r="L388" s="2127" t="s">
        <v>4744</v>
      </c>
      <c r="M388" s="3751" t="s">
        <v>4748</v>
      </c>
      <c r="N388" s="3751"/>
      <c r="O388" s="3751"/>
      <c r="P388" s="3751"/>
      <c r="Q388" s="2147"/>
      <c r="AM388" s="2492">
        <v>388</v>
      </c>
    </row>
    <row r="389" spans="1:39" ht="15.95" customHeight="1">
      <c r="A389" s="2150" t="s">
        <v>1958</v>
      </c>
      <c r="B389" s="3974"/>
      <c r="C389" s="3974"/>
      <c r="D389" s="3974"/>
      <c r="E389" s="3974"/>
      <c r="F389" s="3974"/>
      <c r="G389" s="3974"/>
      <c r="H389" s="3974"/>
      <c r="I389" s="3974"/>
      <c r="J389" s="3974"/>
      <c r="K389" s="3974"/>
      <c r="L389" s="2045"/>
      <c r="M389" s="3975"/>
      <c r="N389" s="3976"/>
      <c r="O389" s="3976"/>
      <c r="P389" s="3977"/>
      <c r="Q389" s="2147"/>
      <c r="AM389" s="2493">
        <v>389</v>
      </c>
    </row>
    <row r="390" spans="1:39" ht="15.95" customHeight="1">
      <c r="A390" s="2150" t="s">
        <v>1959</v>
      </c>
      <c r="B390" s="3981"/>
      <c r="C390" s="3981"/>
      <c r="D390" s="3981"/>
      <c r="E390" s="3981"/>
      <c r="F390" s="3981"/>
      <c r="G390" s="3981"/>
      <c r="H390" s="3981"/>
      <c r="I390" s="3981"/>
      <c r="J390" s="3981"/>
      <c r="K390" s="3981"/>
      <c r="L390" s="2046"/>
      <c r="M390" s="3982"/>
      <c r="N390" s="3983"/>
      <c r="O390" s="3983"/>
      <c r="P390" s="3984"/>
      <c r="Q390" s="2147"/>
      <c r="AM390" s="2492">
        <v>390</v>
      </c>
    </row>
    <row r="391" spans="1:39" ht="15.95" customHeight="1">
      <c r="A391" s="2150" t="s">
        <v>1608</v>
      </c>
      <c r="B391" s="3981"/>
      <c r="C391" s="3981"/>
      <c r="D391" s="3981"/>
      <c r="E391" s="3981"/>
      <c r="F391" s="3981"/>
      <c r="G391" s="3981"/>
      <c r="H391" s="3981"/>
      <c r="I391" s="3981"/>
      <c r="J391" s="3981"/>
      <c r="K391" s="3981"/>
      <c r="L391" s="2046"/>
      <c r="M391" s="3982"/>
      <c r="N391" s="3983"/>
      <c r="O391" s="3983"/>
      <c r="P391" s="3984"/>
      <c r="Q391" s="2147"/>
      <c r="AM391" s="2492">
        <v>391</v>
      </c>
    </row>
    <row r="392" spans="1:39" ht="15.95" customHeight="1">
      <c r="A392" s="2150" t="s">
        <v>3742</v>
      </c>
      <c r="B392" s="3981"/>
      <c r="C392" s="3981"/>
      <c r="D392" s="3981"/>
      <c r="E392" s="3981"/>
      <c r="F392" s="3981"/>
      <c r="G392" s="3981"/>
      <c r="H392" s="3981"/>
      <c r="I392" s="3981"/>
      <c r="J392" s="3981"/>
      <c r="K392" s="3981"/>
      <c r="L392" s="2046"/>
      <c r="M392" s="3982"/>
      <c r="N392" s="3983"/>
      <c r="O392" s="3983"/>
      <c r="P392" s="3984"/>
      <c r="Q392" s="2147"/>
      <c r="AM392" s="2493">
        <v>392</v>
      </c>
    </row>
    <row r="393" spans="1:39" ht="15.95" customHeight="1">
      <c r="A393" s="2150" t="s">
        <v>4690</v>
      </c>
      <c r="B393" s="3981"/>
      <c r="C393" s="3981"/>
      <c r="D393" s="3981"/>
      <c r="E393" s="3981"/>
      <c r="F393" s="3981"/>
      <c r="G393" s="3981"/>
      <c r="H393" s="3981"/>
      <c r="I393" s="3981"/>
      <c r="J393" s="3981"/>
      <c r="K393" s="3981"/>
      <c r="L393" s="2046"/>
      <c r="M393" s="3982"/>
      <c r="N393" s="3983"/>
      <c r="O393" s="3983"/>
      <c r="P393" s="3984"/>
      <c r="Q393" s="2147"/>
      <c r="AM393" s="2493">
        <v>393</v>
      </c>
    </row>
    <row r="394" spans="1:39" ht="15.95" customHeight="1">
      <c r="A394" s="2150" t="s">
        <v>4691</v>
      </c>
      <c r="B394" s="3981"/>
      <c r="C394" s="3981"/>
      <c r="D394" s="3981"/>
      <c r="E394" s="3981"/>
      <c r="F394" s="3981"/>
      <c r="G394" s="3981"/>
      <c r="H394" s="3981"/>
      <c r="I394" s="3981"/>
      <c r="J394" s="3981"/>
      <c r="K394" s="3981"/>
      <c r="L394" s="2046"/>
      <c r="M394" s="3982"/>
      <c r="N394" s="3983"/>
      <c r="O394" s="3983"/>
      <c r="P394" s="3984"/>
      <c r="Q394" s="2147"/>
      <c r="AM394" s="2493">
        <v>394</v>
      </c>
    </row>
    <row r="395" spans="1:39" ht="15.95" customHeight="1">
      <c r="A395" s="2150" t="s">
        <v>4930</v>
      </c>
      <c r="B395" s="3981"/>
      <c r="C395" s="3981"/>
      <c r="D395" s="3981"/>
      <c r="E395" s="3981"/>
      <c r="F395" s="3981"/>
      <c r="G395" s="3981"/>
      <c r="H395" s="3981"/>
      <c r="I395" s="3981"/>
      <c r="J395" s="3981"/>
      <c r="K395" s="3981"/>
      <c r="L395" s="2046"/>
      <c r="M395" s="3982"/>
      <c r="N395" s="3983"/>
      <c r="O395" s="3983"/>
      <c r="P395" s="3984"/>
      <c r="Q395" s="2147"/>
      <c r="AM395" s="2493">
        <v>395</v>
      </c>
    </row>
    <row r="396" spans="1:39" ht="15.95" customHeight="1">
      <c r="A396" s="2150" t="s">
        <v>4931</v>
      </c>
      <c r="B396" s="3981"/>
      <c r="C396" s="3981"/>
      <c r="D396" s="3981"/>
      <c r="E396" s="3981"/>
      <c r="F396" s="3981"/>
      <c r="G396" s="3981"/>
      <c r="H396" s="3981"/>
      <c r="I396" s="3981"/>
      <c r="J396" s="3981"/>
      <c r="K396" s="3981"/>
      <c r="L396" s="2046"/>
      <c r="M396" s="3982"/>
      <c r="N396" s="3983"/>
      <c r="O396" s="3983"/>
      <c r="P396" s="3984"/>
      <c r="Q396" s="2147"/>
      <c r="AM396" s="2492">
        <v>396</v>
      </c>
    </row>
    <row r="397" spans="1:39" ht="14.25">
      <c r="A397" s="2150" t="s">
        <v>4904</v>
      </c>
      <c r="B397" s="3981"/>
      <c r="C397" s="3981"/>
      <c r="D397" s="3981"/>
      <c r="E397" s="3981"/>
      <c r="F397" s="3981"/>
      <c r="G397" s="3981"/>
      <c r="H397" s="3981"/>
      <c r="I397" s="3981"/>
      <c r="J397" s="3981"/>
      <c r="K397" s="3981"/>
      <c r="L397" s="2046"/>
      <c r="M397" s="3982"/>
      <c r="N397" s="3983"/>
      <c r="O397" s="3983"/>
      <c r="P397" s="3984"/>
      <c r="AM397" s="2493">
        <v>397</v>
      </c>
    </row>
    <row r="398" spans="1:39" ht="15.95" customHeight="1">
      <c r="A398" s="2150" t="s">
        <v>4932</v>
      </c>
      <c r="B398" s="3995"/>
      <c r="C398" s="3995"/>
      <c r="D398" s="3995"/>
      <c r="E398" s="3995"/>
      <c r="F398" s="3995"/>
      <c r="G398" s="3995"/>
      <c r="H398" s="3995"/>
      <c r="I398" s="3995"/>
      <c r="J398" s="3995"/>
      <c r="K398" s="3995"/>
      <c r="L398" s="2047"/>
      <c r="M398" s="3996"/>
      <c r="N398" s="3997"/>
      <c r="O398" s="3997"/>
      <c r="P398" s="3998"/>
      <c r="Q398" s="2147"/>
      <c r="AM398" s="2492">
        <v>398</v>
      </c>
    </row>
    <row r="399" spans="1:39" s="2162" customFormat="1" ht="15.95" customHeight="1">
      <c r="A399" s="2257"/>
      <c r="B399" s="2152"/>
      <c r="C399" s="2162" t="s">
        <v>4740</v>
      </c>
      <c r="D399" s="2264"/>
      <c r="E399" s="2264"/>
      <c r="F399" s="2232" t="s">
        <v>4929</v>
      </c>
      <c r="H399" s="2232" t="s">
        <v>4937</v>
      </c>
      <c r="I399" s="2264"/>
      <c r="J399" s="2099"/>
      <c r="K399" s="2323" t="str">
        <f>IF(OR($O399="",$O$12="4%"),"","Ineligible!")</f>
        <v/>
      </c>
      <c r="L399" s="2209" t="s">
        <v>4896</v>
      </c>
      <c r="M399" s="2109">
        <v>6</v>
      </c>
      <c r="N399" s="2229"/>
      <c r="O399" s="2048"/>
      <c r="P399" s="2324"/>
      <c r="Q399" s="2147" t="str">
        <f>IF(OR($O399&lt;=$M399,$O399=0,$O399=""),"","*CHECK!*")</f>
        <v/>
      </c>
      <c r="AM399" s="2492">
        <v>399</v>
      </c>
    </row>
    <row r="400" spans="1:39" ht="15.95" customHeight="1">
      <c r="A400" s="2107"/>
      <c r="B400" s="2129" t="s">
        <v>4847</v>
      </c>
      <c r="C400" s="2107"/>
      <c r="D400" s="2107"/>
      <c r="E400" s="2107"/>
      <c r="F400" s="2107"/>
      <c r="G400" s="2107"/>
      <c r="H400" s="2107"/>
      <c r="I400" s="2107"/>
      <c r="J400" s="2107"/>
      <c r="K400" s="2107"/>
      <c r="M400" s="2109"/>
      <c r="O400" s="2120"/>
      <c r="AM400" s="2492">
        <v>400</v>
      </c>
    </row>
    <row r="401" spans="1:39" ht="15.95" customHeight="1">
      <c r="A401" s="3830"/>
      <c r="B401" s="3831"/>
      <c r="C401" s="3831"/>
      <c r="D401" s="3831"/>
      <c r="E401" s="3831"/>
      <c r="F401" s="3831"/>
      <c r="G401" s="3831"/>
      <c r="H401" s="3831"/>
      <c r="I401" s="3831"/>
      <c r="J401" s="3831"/>
      <c r="K401" s="3831"/>
      <c r="L401" s="3831"/>
      <c r="M401" s="3831"/>
      <c r="N401" s="3831"/>
      <c r="O401" s="3831"/>
      <c r="P401" s="3832"/>
      <c r="Q401" s="2190"/>
      <c r="R401" s="2190"/>
      <c r="AM401" s="2492">
        <v>401</v>
      </c>
    </row>
    <row r="402" spans="1:39" s="2107" customFormat="1" ht="15.95" customHeight="1">
      <c r="A402" s="2129"/>
      <c r="B402" s="2129" t="s">
        <v>1725</v>
      </c>
      <c r="D402" s="2129"/>
      <c r="E402" s="2157"/>
      <c r="F402" s="2157"/>
      <c r="G402" s="2157"/>
      <c r="H402" s="2157"/>
      <c r="I402" s="2157"/>
      <c r="J402" s="2157"/>
      <c r="K402" s="2157"/>
      <c r="L402" s="2157"/>
      <c r="M402" s="2157"/>
      <c r="N402" s="2220"/>
      <c r="O402" s="2135"/>
      <c r="P402" s="2110"/>
      <c r="AM402" s="2493">
        <v>402</v>
      </c>
    </row>
    <row r="403" spans="1:39" ht="15.95" customHeight="1">
      <c r="A403" s="3806"/>
      <c r="B403" s="3807"/>
      <c r="C403" s="3807"/>
      <c r="D403" s="3807"/>
      <c r="E403" s="3807"/>
      <c r="F403" s="3807"/>
      <c r="G403" s="3807"/>
      <c r="H403" s="3807"/>
      <c r="I403" s="3807"/>
      <c r="J403" s="3807"/>
      <c r="K403" s="3807"/>
      <c r="L403" s="3807"/>
      <c r="M403" s="3807"/>
      <c r="N403" s="3807"/>
      <c r="O403" s="3807"/>
      <c r="P403" s="3808"/>
      <c r="Q403" s="2190"/>
      <c r="R403" s="2190"/>
      <c r="AM403" s="2493">
        <v>403</v>
      </c>
    </row>
    <row r="404" spans="1:39" ht="10.5" customHeight="1">
      <c r="A404" s="2107"/>
      <c r="B404" s="2107"/>
      <c r="C404" s="2159"/>
      <c r="D404" s="2159"/>
      <c r="E404" s="2159"/>
      <c r="F404" s="2159"/>
      <c r="G404" s="2159"/>
      <c r="H404" s="2159"/>
      <c r="I404" s="2159"/>
      <c r="J404" s="2159"/>
      <c r="K404" s="2159"/>
      <c r="L404" s="2159"/>
      <c r="M404" s="2159"/>
      <c r="N404" s="2171"/>
      <c r="O404" s="2172"/>
      <c r="P404" s="2110"/>
      <c r="Q404" s="3985" t="s">
        <v>4999</v>
      </c>
      <c r="R404" s="3986"/>
      <c r="S404" s="3986"/>
      <c r="T404" s="3986"/>
      <c r="U404" s="3986"/>
      <c r="V404" s="3986"/>
      <c r="W404" s="3986"/>
      <c r="X404" s="3986"/>
      <c r="Y404" s="3986"/>
      <c r="Z404" s="3986"/>
      <c r="AA404" s="3986"/>
      <c r="AB404" s="3986"/>
      <c r="AC404" s="3986"/>
      <c r="AD404" s="3986"/>
      <c r="AE404" s="3986"/>
      <c r="AF404" s="3986"/>
      <c r="AM404" s="2493">
        <v>404</v>
      </c>
    </row>
    <row r="405" spans="1:39" ht="10.5" customHeight="1">
      <c r="A405" s="2107"/>
      <c r="B405" s="2107"/>
      <c r="C405" s="2159"/>
      <c r="D405" s="2159"/>
      <c r="E405" s="2159"/>
      <c r="F405" s="2159"/>
      <c r="G405" s="2159"/>
      <c r="H405" s="2159"/>
      <c r="I405" s="2159"/>
      <c r="J405" s="2159"/>
      <c r="K405" s="2159"/>
      <c r="L405" s="2159"/>
      <c r="M405" s="2159"/>
      <c r="N405" s="2171"/>
      <c r="O405" s="2172"/>
      <c r="P405" s="2110"/>
      <c r="Q405" s="3985"/>
      <c r="R405" s="3986"/>
      <c r="S405" s="3986"/>
      <c r="T405" s="3986"/>
      <c r="U405" s="3986"/>
      <c r="V405" s="3986"/>
      <c r="W405" s="3986"/>
      <c r="X405" s="3986"/>
      <c r="Y405" s="3986"/>
      <c r="Z405" s="3986"/>
      <c r="AA405" s="3986"/>
      <c r="AB405" s="3986"/>
      <c r="AC405" s="3986"/>
      <c r="AD405" s="3986"/>
      <c r="AE405" s="3986"/>
      <c r="AF405" s="3986"/>
      <c r="AM405" s="2493">
        <v>405</v>
      </c>
    </row>
    <row r="406" spans="1:39" ht="15.95" customHeight="1" thickBot="1">
      <c r="Q406" s="3985"/>
      <c r="R406" s="3986"/>
      <c r="S406" s="3986"/>
      <c r="T406" s="3986"/>
      <c r="U406" s="3986"/>
      <c r="V406" s="3986"/>
      <c r="W406" s="3986"/>
      <c r="X406" s="3986"/>
      <c r="Y406" s="3986"/>
      <c r="Z406" s="3986"/>
      <c r="AA406" s="3986"/>
      <c r="AB406" s="3986"/>
      <c r="AC406" s="3986"/>
      <c r="AD406" s="3986"/>
      <c r="AE406" s="3986"/>
      <c r="AF406" s="3986"/>
      <c r="AM406" s="2492">
        <v>406</v>
      </c>
    </row>
    <row r="407" spans="1:39" s="2107" customFormat="1" ht="15.95" customHeight="1" thickTop="1" thickBot="1">
      <c r="A407" s="2118" t="s">
        <v>401</v>
      </c>
      <c r="B407" s="2106"/>
      <c r="D407" s="2106"/>
      <c r="E407" s="2106"/>
      <c r="F407" s="2106"/>
      <c r="M407" s="2026"/>
      <c r="N407" s="2121"/>
      <c r="O407" s="2122">
        <f>IF(AND($F$12="New Affordability",$O$12="9%"),$AV$449,IF(AND($F$12="New Affordability",$O$12="4%"),$AW$449,IF(AND($F$12="Preservation",$O$12="9%"),$AX$449,IF(AND($F$12="Preservation",$O$12="4%"),$AY$449,0))))</f>
        <v>81</v>
      </c>
      <c r="P407" s="2444">
        <f>IF(AND($F$12="New Affordability",$O$12="9%"),$AZ$449,IF(AND($F$12="New Affordability",$O$12="4%"),$BA$449,IF(AND($F$12="Preservation",$O$12="9%"),$BB$449,IF(AND($F$12="Preservation",$O$12="4%"),$BC$449,0))))</f>
        <v>12</v>
      </c>
      <c r="Q407" s="3985"/>
      <c r="R407" s="3986"/>
      <c r="S407" s="3986"/>
      <c r="T407" s="3986"/>
      <c r="U407" s="3986"/>
      <c r="V407" s="3986"/>
      <c r="W407" s="3986"/>
      <c r="X407" s="3986"/>
      <c r="Y407" s="3986"/>
      <c r="Z407" s="3986"/>
      <c r="AA407" s="3986"/>
      <c r="AB407" s="3986"/>
      <c r="AC407" s="3986"/>
      <c r="AD407" s="3986"/>
      <c r="AE407" s="3986"/>
      <c r="AF407" s="3986"/>
      <c r="AM407" s="2493">
        <v>407</v>
      </c>
    </row>
    <row r="408" spans="1:39" ht="7.5" customHeight="1" thickTop="1">
      <c r="A408" s="2107"/>
      <c r="C408" s="2159"/>
      <c r="D408" s="2159"/>
      <c r="E408" s="2159"/>
      <c r="F408" s="2159"/>
      <c r="G408" s="2159"/>
      <c r="H408" s="2159"/>
      <c r="I408" s="2159"/>
      <c r="J408" s="2159"/>
      <c r="K408" s="2159"/>
      <c r="L408" s="2159"/>
      <c r="M408" s="2159"/>
      <c r="N408" s="2159"/>
      <c r="O408" s="2159"/>
      <c r="P408" s="2159"/>
      <c r="Q408" s="3985"/>
      <c r="R408" s="3986"/>
      <c r="S408" s="3986"/>
      <c r="T408" s="3986"/>
      <c r="U408" s="3986"/>
      <c r="V408" s="3986"/>
      <c r="W408" s="3986"/>
      <c r="X408" s="3986"/>
      <c r="Y408" s="3986"/>
      <c r="Z408" s="3986"/>
      <c r="AA408" s="3986"/>
      <c r="AB408" s="3986"/>
      <c r="AC408" s="3986"/>
      <c r="AD408" s="3986"/>
      <c r="AE408" s="3986"/>
      <c r="AF408" s="3986"/>
      <c r="AM408" s="2492">
        <v>408</v>
      </c>
    </row>
    <row r="409" spans="1:39" ht="7.5" customHeight="1">
      <c r="F409" s="2139"/>
      <c r="G409" s="2139"/>
      <c r="H409" s="2110"/>
      <c r="I409" s="2110"/>
      <c r="N409" s="2110"/>
      <c r="O409" s="2110"/>
      <c r="P409" s="2120"/>
      <c r="Q409" s="3985"/>
      <c r="R409" s="3986"/>
      <c r="S409" s="3986"/>
      <c r="T409" s="3986"/>
      <c r="U409" s="3986"/>
      <c r="V409" s="3986"/>
      <c r="W409" s="3986"/>
      <c r="X409" s="3986"/>
      <c r="Y409" s="3986"/>
      <c r="Z409" s="3986"/>
      <c r="AA409" s="3986"/>
      <c r="AB409" s="3986"/>
      <c r="AC409" s="3986"/>
      <c r="AD409" s="3986"/>
      <c r="AE409" s="3986"/>
      <c r="AF409" s="3986"/>
      <c r="AM409" s="2492">
        <v>409</v>
      </c>
    </row>
    <row r="410" spans="1:39" ht="33.950000000000003" customHeight="1">
      <c r="A410" s="3987" t="s">
        <v>5033</v>
      </c>
      <c r="B410" s="3987"/>
      <c r="C410" s="3987"/>
      <c r="D410" s="3987"/>
      <c r="E410" s="3987"/>
      <c r="F410" s="3987"/>
      <c r="G410" s="3987"/>
      <c r="H410" s="3987"/>
      <c r="I410" s="3987"/>
      <c r="J410" s="3987"/>
      <c r="K410" s="3987"/>
      <c r="L410" s="3987"/>
      <c r="M410" s="3987"/>
      <c r="N410" s="3987"/>
      <c r="O410" s="3987"/>
      <c r="P410" s="3987"/>
      <c r="Q410" s="3985"/>
      <c r="R410" s="3986"/>
      <c r="S410" s="3986"/>
      <c r="T410" s="3986"/>
      <c r="U410" s="3986"/>
      <c r="V410" s="3986"/>
      <c r="W410" s="3986"/>
      <c r="X410" s="3986"/>
      <c r="Y410" s="3986"/>
      <c r="Z410" s="3986"/>
      <c r="AA410" s="3986"/>
      <c r="AB410" s="3986"/>
      <c r="AC410" s="3986"/>
      <c r="AD410" s="3986"/>
      <c r="AE410" s="3986"/>
      <c r="AF410" s="3986"/>
      <c r="AM410" s="2492">
        <v>410</v>
      </c>
    </row>
    <row r="411" spans="1:39" ht="409.15" customHeight="1">
      <c r="A411" s="3967"/>
      <c r="B411" s="3968"/>
      <c r="C411" s="3968"/>
      <c r="D411" s="3968"/>
      <c r="E411" s="3968"/>
      <c r="F411" s="3968"/>
      <c r="G411" s="3968"/>
      <c r="H411" s="3968"/>
      <c r="I411" s="3968"/>
      <c r="J411" s="3968"/>
      <c r="K411" s="3968"/>
      <c r="L411" s="3968"/>
      <c r="M411" s="3968"/>
      <c r="N411" s="3968"/>
      <c r="O411" s="3968"/>
      <c r="P411" s="3969"/>
      <c r="Q411" s="2124"/>
      <c r="R411" s="2124"/>
      <c r="S411" s="2124"/>
      <c r="T411" s="2124"/>
      <c r="U411" s="2124"/>
      <c r="V411" s="2124"/>
      <c r="W411" s="2124"/>
      <c r="X411" s="2124"/>
      <c r="Y411" s="2124"/>
      <c r="AM411" s="2494">
        <v>411</v>
      </c>
    </row>
    <row r="412" spans="1:39">
      <c r="B412" s="2027"/>
      <c r="C412" s="2027" t="s">
        <v>1934</v>
      </c>
      <c r="D412" s="2027"/>
      <c r="E412" s="2027"/>
      <c r="F412" s="2027"/>
      <c r="G412" s="2027"/>
      <c r="H412" s="2027"/>
      <c r="I412" s="2027"/>
      <c r="J412" s="2028" t="s">
        <v>1535</v>
      </c>
      <c r="K412" s="2027"/>
      <c r="L412" s="2027"/>
      <c r="M412" s="2027"/>
      <c r="N412" s="2016"/>
      <c r="O412" s="2029"/>
      <c r="P412" s="2029"/>
      <c r="Q412" s="2041"/>
      <c r="R412" s="2041"/>
      <c r="S412" s="2041"/>
      <c r="T412" s="2125"/>
      <c r="U412" s="2125"/>
      <c r="V412" s="2125"/>
      <c r="W412" s="2125"/>
      <c r="X412" s="2125"/>
      <c r="Y412" s="2125"/>
    </row>
    <row r="413" spans="1:39">
      <c r="B413" s="2027"/>
      <c r="C413" s="2027" t="s">
        <v>1935</v>
      </c>
      <c r="D413" s="2027"/>
      <c r="E413" s="2027"/>
      <c r="F413" s="2027"/>
      <c r="G413" s="2027"/>
      <c r="H413" s="2027"/>
      <c r="I413" s="2027"/>
      <c r="J413" s="2028" t="s">
        <v>1536</v>
      </c>
      <c r="K413" s="2027"/>
      <c r="L413" s="2027"/>
      <c r="M413" s="2027"/>
      <c r="N413" s="2016"/>
      <c r="O413" s="2029"/>
      <c r="P413" s="2029"/>
      <c r="Q413" s="2027"/>
      <c r="R413" s="2027"/>
      <c r="S413" s="2027"/>
    </row>
    <row r="414" spans="1:39">
      <c r="B414" s="2027"/>
      <c r="C414" s="2027" t="s">
        <v>1936</v>
      </c>
      <c r="D414" s="2027"/>
      <c r="E414" s="2027"/>
      <c r="F414" s="2027"/>
      <c r="G414" s="2027"/>
      <c r="H414" s="2027"/>
      <c r="I414" s="2027"/>
      <c r="J414" s="2028" t="s">
        <v>2300</v>
      </c>
      <c r="K414" s="2027"/>
      <c r="L414" s="2027"/>
      <c r="M414" s="2027"/>
      <c r="N414" s="2016"/>
      <c r="O414" s="2029"/>
      <c r="P414" s="2029"/>
      <c r="Q414" s="2027"/>
      <c r="R414" s="2027"/>
      <c r="S414" s="2027"/>
    </row>
    <row r="415" spans="1:39">
      <c r="B415" s="2027"/>
      <c r="C415" s="2027" t="s">
        <v>1937</v>
      </c>
      <c r="D415" s="2027"/>
      <c r="E415" s="2027"/>
      <c r="F415" s="2027"/>
      <c r="G415" s="2027"/>
      <c r="H415" s="2027"/>
      <c r="I415" s="2027"/>
      <c r="J415" s="2028" t="s">
        <v>1537</v>
      </c>
      <c r="K415" s="2027"/>
      <c r="L415" s="2027"/>
      <c r="M415" s="2027"/>
      <c r="N415" s="2016"/>
      <c r="O415" s="2029"/>
      <c r="P415" s="2029"/>
      <c r="Q415" s="2027"/>
      <c r="R415" s="2027"/>
      <c r="S415" s="2027"/>
    </row>
    <row r="416" spans="1:39">
      <c r="B416" s="2027"/>
      <c r="C416" s="2027"/>
      <c r="D416" s="2027"/>
      <c r="E416" s="2027"/>
      <c r="F416" s="2027"/>
      <c r="G416" s="2027"/>
      <c r="H416" s="2027"/>
      <c r="I416" s="2027"/>
      <c r="J416" s="2028" t="s">
        <v>1538</v>
      </c>
      <c r="K416" s="2027"/>
      <c r="L416" s="2027"/>
      <c r="M416" s="2027"/>
      <c r="N416" s="2016"/>
      <c r="O416" s="2029"/>
      <c r="P416" s="2029"/>
      <c r="Q416" s="2027"/>
      <c r="R416" s="2027"/>
      <c r="S416" s="2027"/>
    </row>
    <row r="417" spans="2:58">
      <c r="B417" s="2027"/>
      <c r="C417" s="2027" t="s">
        <v>1641</v>
      </c>
      <c r="D417" s="2027"/>
      <c r="E417" s="2027"/>
      <c r="F417" s="2027"/>
      <c r="G417" s="2027"/>
      <c r="H417" s="2027"/>
      <c r="I417" s="2027"/>
      <c r="J417" s="2028" t="s">
        <v>1539</v>
      </c>
      <c r="K417" s="2027"/>
      <c r="L417" s="2027"/>
      <c r="M417" s="2027"/>
      <c r="N417" s="2016"/>
      <c r="O417" s="2029"/>
      <c r="P417" s="2029"/>
      <c r="Q417" s="2027"/>
      <c r="R417" s="2027"/>
      <c r="S417" s="2027"/>
    </row>
    <row r="418" spans="2:58" ht="15.75" thickBot="1">
      <c r="B418" s="2027"/>
      <c r="C418" s="2030" t="s">
        <v>1310</v>
      </c>
      <c r="D418" s="2027"/>
      <c r="E418" s="2027"/>
      <c r="F418" s="2027"/>
      <c r="G418" s="2027"/>
      <c r="H418" s="2027"/>
      <c r="I418" s="2027"/>
      <c r="J418" s="2028" t="s">
        <v>1540</v>
      </c>
      <c r="K418" s="2027"/>
      <c r="L418" s="2027"/>
      <c r="M418" s="2027"/>
      <c r="N418" s="2016"/>
      <c r="O418" s="2029"/>
      <c r="P418" s="2029"/>
      <c r="Q418" s="2027"/>
      <c r="R418" s="2027"/>
      <c r="S418" s="2027"/>
      <c r="AS418" s="2113"/>
      <c r="AT418" s="2113"/>
      <c r="AU418" s="2107"/>
      <c r="AV418" s="3988" t="s">
        <v>4459</v>
      </c>
      <c r="AW418" s="3988"/>
      <c r="AX418" s="3988"/>
      <c r="AY418" s="3988"/>
      <c r="AZ418" s="3988"/>
      <c r="BA418" s="3988"/>
      <c r="BB418" s="3988"/>
      <c r="BC418" s="3988"/>
      <c r="BD418" s="2107"/>
      <c r="BE418" s="2107"/>
      <c r="BF418" s="2107"/>
    </row>
    <row r="419" spans="2:58" ht="15.75" thickBot="1">
      <c r="B419" s="2027"/>
      <c r="C419" s="2030" t="s">
        <v>1311</v>
      </c>
      <c r="D419" s="2027"/>
      <c r="E419" s="2027"/>
      <c r="F419" s="2027"/>
      <c r="G419" s="2027"/>
      <c r="H419" s="2027"/>
      <c r="I419" s="2027"/>
      <c r="J419" s="2028" t="s">
        <v>1541</v>
      </c>
      <c r="K419" s="2027"/>
      <c r="L419" s="2027"/>
      <c r="M419" s="2027"/>
      <c r="N419" s="2016"/>
      <c r="O419" s="2029"/>
      <c r="P419" s="2029"/>
      <c r="Q419" s="2027"/>
      <c r="R419" s="2027"/>
      <c r="S419" s="2027"/>
      <c r="AP419" s="2113"/>
      <c r="AQ419" s="2113"/>
      <c r="AR419" s="2107"/>
      <c r="AS419" s="2107"/>
      <c r="AT419" s="2107"/>
      <c r="AU419" s="2107"/>
      <c r="AV419" s="3989" t="s">
        <v>4460</v>
      </c>
      <c r="AW419" s="3990"/>
      <c r="AX419" s="3990"/>
      <c r="AY419" s="3991"/>
      <c r="AZ419" s="3992" t="s">
        <v>4461</v>
      </c>
      <c r="BA419" s="3993"/>
      <c r="BB419" s="3993"/>
      <c r="BC419" s="3994"/>
    </row>
    <row r="420" spans="2:58">
      <c r="B420" s="2027"/>
      <c r="C420" s="2030" t="s">
        <v>1975</v>
      </c>
      <c r="D420" s="2027"/>
      <c r="E420" s="2027"/>
      <c r="F420" s="2027"/>
      <c r="G420" s="2027"/>
      <c r="H420" s="2027"/>
      <c r="I420" s="2027"/>
      <c r="J420" s="2028" t="s">
        <v>1542</v>
      </c>
      <c r="K420" s="2027"/>
      <c r="L420" s="2027"/>
      <c r="M420" s="2027"/>
      <c r="N420" s="2016"/>
      <c r="O420" s="2029"/>
      <c r="P420" s="2029"/>
      <c r="Q420" s="2027"/>
      <c r="R420" s="2027"/>
      <c r="S420" s="2027"/>
      <c r="AA420" s="2461" t="s">
        <v>688</v>
      </c>
      <c r="AB420" s="2462" t="s">
        <v>4039</v>
      </c>
      <c r="AC420" s="2027"/>
      <c r="AD420" s="2027"/>
      <c r="AE420" s="2027"/>
      <c r="AF420" s="2027"/>
      <c r="AG420" s="2027"/>
      <c r="AH420" s="2027"/>
      <c r="AI420" s="2027"/>
      <c r="AJ420" s="2027"/>
      <c r="AK420" s="2027"/>
      <c r="AL420" s="2027"/>
      <c r="AM420" s="2016"/>
      <c r="AN420" s="2027"/>
      <c r="AV420" s="2325"/>
      <c r="AW420" s="2325"/>
      <c r="AX420" s="2325"/>
      <c r="AY420" s="2325"/>
      <c r="AZ420" s="2325"/>
      <c r="BA420" s="2325"/>
      <c r="BB420" s="2325"/>
      <c r="BC420" s="2325"/>
    </row>
    <row r="421" spans="2:58" ht="15" customHeight="1">
      <c r="B421" s="2027"/>
      <c r="C421" s="2030" t="s">
        <v>1307</v>
      </c>
      <c r="D421" s="2027"/>
      <c r="E421" s="2027"/>
      <c r="F421" s="2027"/>
      <c r="G421" s="2027"/>
      <c r="H421" s="2027"/>
      <c r="I421" s="2027"/>
      <c r="J421" s="2028" t="s">
        <v>548</v>
      </c>
      <c r="K421" s="2027"/>
      <c r="L421" s="2027"/>
      <c r="M421" s="2027"/>
      <c r="N421" s="2016"/>
      <c r="O421" s="2029"/>
      <c r="P421" s="2029"/>
      <c r="Q421" s="2027"/>
      <c r="R421" s="2027"/>
      <c r="S421" s="2027"/>
      <c r="AA421" s="2027"/>
      <c r="AB421" s="2027"/>
      <c r="AC421" s="1997"/>
      <c r="AD421" s="2027"/>
      <c r="AE421" s="2027"/>
      <c r="AF421" s="2027"/>
      <c r="AG421" s="4001" t="s">
        <v>4767</v>
      </c>
      <c r="AH421" s="4001"/>
      <c r="AI421" s="4001" t="s">
        <v>4404</v>
      </c>
      <c r="AJ421" s="4001"/>
      <c r="AK421" s="4004" t="s">
        <v>4040</v>
      </c>
      <c r="AL421" s="4004"/>
      <c r="AM421" s="4004"/>
      <c r="AN421" s="4004"/>
      <c r="AP421" s="2132"/>
      <c r="AQ421" s="2131" t="s">
        <v>4039</v>
      </c>
      <c r="AR421" s="2132"/>
      <c r="AS421" s="2132"/>
      <c r="AT421" s="2132"/>
      <c r="AV421" s="4005" t="s">
        <v>4767</v>
      </c>
      <c r="AW421" s="4006"/>
      <c r="AX421" s="4005" t="s">
        <v>4404</v>
      </c>
      <c r="AY421" s="4006"/>
      <c r="AZ421" s="4007" t="s">
        <v>4767</v>
      </c>
      <c r="BA421" s="4007"/>
      <c r="BB421" s="3999" t="s">
        <v>4404</v>
      </c>
      <c r="BC421" s="4000"/>
    </row>
    <row r="422" spans="2:58" ht="28.5">
      <c r="B422" s="2027"/>
      <c r="C422" s="2030" t="s">
        <v>1308</v>
      </c>
      <c r="D422" s="2027"/>
      <c r="E422" s="2027"/>
      <c r="F422" s="2027"/>
      <c r="G422" s="2027"/>
      <c r="H422" s="2027"/>
      <c r="I422" s="2027"/>
      <c r="J422" s="2028" t="s">
        <v>1543</v>
      </c>
      <c r="K422" s="2027"/>
      <c r="L422" s="2027"/>
      <c r="M422" s="2027"/>
      <c r="N422" s="2016"/>
      <c r="O422" s="2029"/>
      <c r="P422" s="2029"/>
      <c r="Q422" s="2027"/>
      <c r="R422" s="2027"/>
      <c r="S422" s="2027"/>
      <c r="AA422" s="2027"/>
      <c r="AB422" s="1997"/>
      <c r="AC422" s="2027"/>
      <c r="AD422" s="2027"/>
      <c r="AE422" s="2027"/>
      <c r="AF422" s="2027"/>
      <c r="AG422" s="2463">
        <v>0.09</v>
      </c>
      <c r="AH422" s="2463" t="s">
        <v>4749</v>
      </c>
      <c r="AI422" s="2463">
        <v>0.09</v>
      </c>
      <c r="AJ422" s="2463" t="s">
        <v>4749</v>
      </c>
      <c r="AK422" s="4001" t="str">
        <f>'Part I-Project Identification'!F12</f>
        <v>9% Credit Competitive Round only</v>
      </c>
      <c r="AL422" s="4001"/>
      <c r="AM422" s="4001"/>
      <c r="AN422" s="4001"/>
      <c r="AQ422" s="2107"/>
      <c r="AV422" s="2326">
        <v>0.09</v>
      </c>
      <c r="AW422" s="2326" t="s">
        <v>4749</v>
      </c>
      <c r="AX422" s="2326">
        <v>0.09</v>
      </c>
      <c r="AY422" s="2326" t="s">
        <v>4749</v>
      </c>
      <c r="AZ422" s="2327">
        <v>0.09</v>
      </c>
      <c r="BA422" s="2327" t="s">
        <v>4749</v>
      </c>
      <c r="BB422" s="2327">
        <v>0.09</v>
      </c>
      <c r="BC422" s="2327" t="s">
        <v>4749</v>
      </c>
    </row>
    <row r="423" spans="2:58">
      <c r="B423" s="2027"/>
      <c r="C423" s="2030" t="s">
        <v>1970</v>
      </c>
      <c r="D423" s="2027"/>
      <c r="E423" s="2027"/>
      <c r="F423" s="2027"/>
      <c r="G423" s="2027"/>
      <c r="H423" s="2027"/>
      <c r="I423" s="2027"/>
      <c r="J423" s="2028" t="s">
        <v>1544</v>
      </c>
      <c r="K423" s="2027"/>
      <c r="L423" s="2027"/>
      <c r="M423" s="2027"/>
      <c r="N423" s="2016"/>
      <c r="O423" s="2029"/>
      <c r="P423" s="2029"/>
      <c r="Q423" s="2027"/>
      <c r="R423" s="2027"/>
      <c r="S423" s="2027"/>
      <c r="AA423" s="2464"/>
      <c r="AB423" s="1997"/>
      <c r="AC423" s="2027"/>
      <c r="AD423" s="2027"/>
      <c r="AE423" s="2027"/>
      <c r="AF423" s="2027"/>
      <c r="AG423" s="2465"/>
      <c r="AH423" s="2465"/>
      <c r="AI423" s="2465"/>
      <c r="AJ423" s="2465"/>
      <c r="AK423" s="2027"/>
      <c r="AL423" s="2027"/>
      <c r="AM423" s="2016"/>
      <c r="AN423" s="2027"/>
      <c r="AP423" s="2145"/>
      <c r="AQ423" s="2310"/>
      <c r="AR423" s="2310"/>
      <c r="AS423" s="2310"/>
      <c r="AT423" s="2310"/>
      <c r="AU423" s="2310"/>
      <c r="AV423" s="2329"/>
      <c r="AW423" s="2330"/>
      <c r="AX423" s="2331"/>
      <c r="AY423" s="2332"/>
      <c r="AZ423" s="2333"/>
      <c r="BA423" s="2334"/>
      <c r="BB423" s="2335"/>
      <c r="BC423" s="2334"/>
    </row>
    <row r="424" spans="2:58">
      <c r="B424" s="2027"/>
      <c r="C424" s="2030" t="s">
        <v>1971</v>
      </c>
      <c r="D424" s="2027"/>
      <c r="E424" s="2027"/>
      <c r="F424" s="2027"/>
      <c r="G424" s="2027"/>
      <c r="H424" s="2027"/>
      <c r="I424" s="2027"/>
      <c r="J424" s="2028" t="s">
        <v>1545</v>
      </c>
      <c r="K424" s="2027"/>
      <c r="L424" s="2027"/>
      <c r="M424" s="2027"/>
      <c r="N424" s="2016"/>
      <c r="O424" s="2029"/>
      <c r="P424" s="2029"/>
      <c r="Q424" s="2027"/>
      <c r="R424" s="2027"/>
      <c r="S424" s="2027"/>
      <c r="AA424" s="2464" t="s">
        <v>690</v>
      </c>
      <c r="AB424" s="1997" t="s">
        <v>3681</v>
      </c>
      <c r="AC424" s="2027"/>
      <c r="AD424" s="2027"/>
      <c r="AE424" s="2027"/>
      <c r="AF424" s="2027"/>
      <c r="AG424" s="2465">
        <f>$M$20</f>
        <v>6</v>
      </c>
      <c r="AH424" s="2465">
        <f>$M$20</f>
        <v>6</v>
      </c>
      <c r="AI424" s="2465">
        <f>$M$20</f>
        <v>6</v>
      </c>
      <c r="AJ424" s="2465">
        <f>$M$20</f>
        <v>6</v>
      </c>
      <c r="AK424" s="2027"/>
      <c r="AL424" s="2027"/>
      <c r="AM424" s="2016"/>
      <c r="AN424" s="2027"/>
      <c r="AP424" s="2145" t="s">
        <v>690</v>
      </c>
      <c r="AQ424" s="2336" t="s">
        <v>3681</v>
      </c>
      <c r="AR424" s="2328"/>
      <c r="AS424" s="2328"/>
      <c r="AT424" s="2328"/>
      <c r="AU424" s="2328"/>
      <c r="AV424" s="2329">
        <f>$O$20</f>
        <v>6</v>
      </c>
      <c r="AW424" s="2330">
        <f>$O$20</f>
        <v>6</v>
      </c>
      <c r="AX424" s="2337">
        <f>$O$20</f>
        <v>6</v>
      </c>
      <c r="AY424" s="2338">
        <f>$O$20</f>
        <v>6</v>
      </c>
      <c r="AZ424" s="2339">
        <f>$P$20</f>
        <v>0</v>
      </c>
      <c r="BA424" s="2340">
        <f>$P$20</f>
        <v>0</v>
      </c>
      <c r="BB424" s="2341">
        <f>$P$20</f>
        <v>0</v>
      </c>
      <c r="BC424" s="2340">
        <f>$P$20</f>
        <v>0</v>
      </c>
    </row>
    <row r="425" spans="2:58">
      <c r="B425" s="2027"/>
      <c r="C425" s="2030" t="s">
        <v>1972</v>
      </c>
      <c r="D425" s="2027"/>
      <c r="E425" s="2027"/>
      <c r="F425" s="2027"/>
      <c r="G425" s="2027"/>
      <c r="H425" s="2027"/>
      <c r="I425" s="2027"/>
      <c r="J425" s="2028" t="s">
        <v>32</v>
      </c>
      <c r="K425" s="2027"/>
      <c r="L425" s="2027"/>
      <c r="M425" s="2027"/>
      <c r="N425" s="2016"/>
      <c r="O425" s="2029"/>
      <c r="P425" s="2029"/>
      <c r="Q425" s="2027"/>
      <c r="R425" s="2027"/>
      <c r="S425" s="2027"/>
      <c r="AA425" s="2464" t="s">
        <v>1661</v>
      </c>
      <c r="AB425" s="1997" t="s">
        <v>4446</v>
      </c>
      <c r="AC425" s="2027"/>
      <c r="AD425" s="2027"/>
      <c r="AE425" s="2027"/>
      <c r="AF425" s="2027"/>
      <c r="AG425" s="2465">
        <f>$M$37</f>
        <v>2</v>
      </c>
      <c r="AH425" s="2465">
        <f>$M$37</f>
        <v>2</v>
      </c>
      <c r="AI425" s="2465">
        <f>$M$37</f>
        <v>2</v>
      </c>
      <c r="AJ425" s="2465">
        <f>$M$37</f>
        <v>2</v>
      </c>
      <c r="AK425" s="1996" t="s">
        <v>4041</v>
      </c>
      <c r="AL425" s="2027"/>
      <c r="AM425" s="2016"/>
      <c r="AN425" s="2466" t="str">
        <f>IF(OR($AK$422="9% Credit Competitive Round only", $AK$422="9% Credit &amp; HOME"),"9%",IF(OR($AK$422="4% Credit/TE Bond", $AK$422="4% Credit/TE Bond &amp; HOME", $AK$422="4% Credit/TE Bond &amp; HOME NOFA", $AK$422="4% Credit &amp; NHTF", $AK$422="4% Credit &amp; NHTF &amp; HOME"),"4%",""))</f>
        <v>9%</v>
      </c>
      <c r="AP425" s="2145" t="s">
        <v>1661</v>
      </c>
      <c r="AQ425" s="2336" t="s">
        <v>4446</v>
      </c>
      <c r="AR425" s="2342"/>
      <c r="AS425" s="2342"/>
      <c r="AT425" s="2342"/>
      <c r="AU425" s="2342"/>
      <c r="AV425" s="2337">
        <f>$O$37</f>
        <v>2</v>
      </c>
      <c r="AW425" s="2344">
        <f>$O$37</f>
        <v>2</v>
      </c>
      <c r="AX425" s="2337">
        <f>$O$37</f>
        <v>2</v>
      </c>
      <c r="AY425" s="2338">
        <f>$O$37</f>
        <v>2</v>
      </c>
      <c r="AZ425" s="2339">
        <f>$P$37</f>
        <v>0</v>
      </c>
      <c r="BA425" s="2340">
        <f>$P$37</f>
        <v>0</v>
      </c>
      <c r="BB425" s="2341">
        <f>$P$37</f>
        <v>0</v>
      </c>
      <c r="BC425" s="2340">
        <f>$P$37</f>
        <v>0</v>
      </c>
    </row>
    <row r="426" spans="2:58">
      <c r="B426" s="2027"/>
      <c r="C426" s="2030" t="s">
        <v>1973</v>
      </c>
      <c r="D426" s="2027"/>
      <c r="E426" s="2027"/>
      <c r="F426" s="2027"/>
      <c r="G426" s="2027"/>
      <c r="H426" s="2027"/>
      <c r="I426" s="2027"/>
      <c r="J426" s="2027"/>
      <c r="K426" s="2027"/>
      <c r="L426" s="2027"/>
      <c r="M426" s="2027"/>
      <c r="N426" s="2016"/>
      <c r="O426" s="2029"/>
      <c r="P426" s="2029"/>
      <c r="Q426" s="2027"/>
      <c r="R426" s="2027"/>
      <c r="S426" s="2027"/>
      <c r="AA426" s="2464" t="s">
        <v>1663</v>
      </c>
      <c r="AB426" s="1997" t="s">
        <v>3311</v>
      </c>
      <c r="AC426" s="2027"/>
      <c r="AD426" s="2027"/>
      <c r="AE426" s="2027"/>
      <c r="AF426" s="2027"/>
      <c r="AG426" s="2467">
        <f>$M$55</f>
        <v>5</v>
      </c>
      <c r="AH426" s="2465">
        <f>$M$55</f>
        <v>5</v>
      </c>
      <c r="AI426" s="2465">
        <f>$M$55</f>
        <v>5</v>
      </c>
      <c r="AJ426" s="2465">
        <f>$M$55</f>
        <v>5</v>
      </c>
      <c r="AK426" s="2027"/>
      <c r="AL426" s="2027"/>
      <c r="AM426" s="2016"/>
      <c r="AN426" s="2027"/>
      <c r="AP426" s="2145" t="s">
        <v>1663</v>
      </c>
      <c r="AQ426" s="2336" t="s">
        <v>3311</v>
      </c>
      <c r="AR426" s="2342"/>
      <c r="AS426" s="2342"/>
      <c r="AT426" s="2342"/>
      <c r="AU426" s="2342"/>
      <c r="AV426" s="2345">
        <f>$O$55</f>
        <v>2</v>
      </c>
      <c r="AW426" s="2346">
        <f>$O$55</f>
        <v>2</v>
      </c>
      <c r="AX426" s="2347">
        <f>$O$55</f>
        <v>2</v>
      </c>
      <c r="AY426" s="2348">
        <f>$O$55</f>
        <v>2</v>
      </c>
      <c r="AZ426" s="2349">
        <f>$P$55</f>
        <v>0</v>
      </c>
      <c r="BA426" s="2350">
        <f>$P$55</f>
        <v>0</v>
      </c>
      <c r="BB426" s="2351">
        <f>$P$55</f>
        <v>0</v>
      </c>
      <c r="BC426" s="2352">
        <f>$P$55</f>
        <v>0</v>
      </c>
    </row>
    <row r="427" spans="2:58">
      <c r="B427" s="2027"/>
      <c r="C427" s="2030" t="s">
        <v>1974</v>
      </c>
      <c r="D427" s="2027"/>
      <c r="E427" s="2027"/>
      <c r="F427" s="2027"/>
      <c r="G427" s="2027"/>
      <c r="H427" s="2027"/>
      <c r="I427" s="2027"/>
      <c r="J427" s="2031" t="s">
        <v>2954</v>
      </c>
      <c r="K427" s="2027"/>
      <c r="L427" s="2027"/>
      <c r="M427" s="2027"/>
      <c r="N427" s="2016"/>
      <c r="O427" s="2031" t="s">
        <v>3169</v>
      </c>
      <c r="P427" s="2029"/>
      <c r="Q427" s="2027"/>
      <c r="R427" s="2027"/>
      <c r="S427" s="2027"/>
      <c r="AA427" s="2464" t="s">
        <v>495</v>
      </c>
      <c r="AB427" s="1997" t="s">
        <v>4033</v>
      </c>
      <c r="AC427" s="2027"/>
      <c r="AD427" s="2027"/>
      <c r="AE427" s="2027"/>
      <c r="AF427" s="2027"/>
      <c r="AG427" s="2465">
        <f>$M$89</f>
        <v>10</v>
      </c>
      <c r="AH427" s="2465">
        <f>$M$89</f>
        <v>10</v>
      </c>
      <c r="AI427" s="2465">
        <f>$M$89</f>
        <v>10</v>
      </c>
      <c r="AJ427" s="2465">
        <f>$M$89</f>
        <v>10</v>
      </c>
      <c r="AK427" s="2027"/>
      <c r="AL427" s="2027"/>
      <c r="AM427" s="2016"/>
      <c r="AN427" s="2027"/>
      <c r="AP427" s="2145" t="s">
        <v>495</v>
      </c>
      <c r="AQ427" s="2336" t="s">
        <v>4033</v>
      </c>
      <c r="AR427" s="2342"/>
      <c r="AS427" s="2342"/>
      <c r="AT427" s="2342"/>
      <c r="AU427" s="2342"/>
      <c r="AV427" s="2337">
        <f>$O$89</f>
        <v>10</v>
      </c>
      <c r="AW427" s="2344">
        <f>$O$89</f>
        <v>10</v>
      </c>
      <c r="AX427" s="2337">
        <f>$O$89</f>
        <v>10</v>
      </c>
      <c r="AY427" s="2338">
        <f>$O$89</f>
        <v>10</v>
      </c>
      <c r="AZ427" s="2339">
        <f>$P$89</f>
        <v>10</v>
      </c>
      <c r="BA427" s="2340">
        <f>$P$89</f>
        <v>10</v>
      </c>
      <c r="BB427" s="2351">
        <f>$P$89</f>
        <v>10</v>
      </c>
      <c r="BC427" s="2352">
        <f>$P$89</f>
        <v>10</v>
      </c>
    </row>
    <row r="428" spans="2:58">
      <c r="B428" s="2027"/>
      <c r="C428" s="2030" t="s">
        <v>1309</v>
      </c>
      <c r="D428" s="2027"/>
      <c r="E428" s="2027"/>
      <c r="F428" s="2027"/>
      <c r="G428" s="2027"/>
      <c r="H428" s="2027"/>
      <c r="I428" s="2027"/>
      <c r="J428" s="2028" t="s">
        <v>2955</v>
      </c>
      <c r="K428" s="2027"/>
      <c r="L428" s="2027"/>
      <c r="M428" s="2027"/>
      <c r="N428" s="2016"/>
      <c r="O428" s="2029"/>
      <c r="P428" s="2029"/>
      <c r="Q428" s="2027"/>
      <c r="R428" s="2027"/>
      <c r="S428" s="2027"/>
      <c r="AA428" s="2464" t="s">
        <v>719</v>
      </c>
      <c r="AB428" s="1997" t="s">
        <v>4447</v>
      </c>
      <c r="AC428" s="2027"/>
      <c r="AD428" s="2027"/>
      <c r="AE428" s="2027"/>
      <c r="AF428" s="2027"/>
      <c r="AG428" s="2465">
        <f>$M$100</f>
        <v>5</v>
      </c>
      <c r="AH428" s="2465">
        <f>$M$100</f>
        <v>5</v>
      </c>
      <c r="AI428" s="2465">
        <f>$M$100</f>
        <v>5</v>
      </c>
      <c r="AJ428" s="2465">
        <f>$M$100</f>
        <v>5</v>
      </c>
      <c r="AK428" s="4002" t="s">
        <v>4458</v>
      </c>
      <c r="AL428" s="4002"/>
      <c r="AM428" s="4002"/>
      <c r="AN428" s="4002"/>
      <c r="AP428" s="2145" t="s">
        <v>719</v>
      </c>
      <c r="AQ428" s="2336" t="s">
        <v>4447</v>
      </c>
      <c r="AR428" s="2342"/>
      <c r="AS428" s="2342"/>
      <c r="AT428" s="2342"/>
      <c r="AU428" s="2342"/>
      <c r="AV428" s="2337">
        <f>$O$100</f>
        <v>4</v>
      </c>
      <c r="AW428" s="2353">
        <f>$O$100</f>
        <v>4</v>
      </c>
      <c r="AX428" s="2347">
        <f>$O$100</f>
        <v>4</v>
      </c>
      <c r="AY428" s="2348">
        <f>$O$100</f>
        <v>4</v>
      </c>
      <c r="AZ428" s="2339">
        <f>$P$100</f>
        <v>2</v>
      </c>
      <c r="BA428" s="2352">
        <f>$P$100</f>
        <v>2</v>
      </c>
      <c r="BB428" s="2351">
        <f>$P$100</f>
        <v>2</v>
      </c>
      <c r="BC428" s="2352">
        <f>$P$100</f>
        <v>2</v>
      </c>
    </row>
    <row r="429" spans="2:58">
      <c r="B429" s="2027"/>
      <c r="C429" s="2030" t="s">
        <v>2103</v>
      </c>
      <c r="D429" s="2027"/>
      <c r="E429" s="2027"/>
      <c r="F429" s="2027"/>
      <c r="G429" s="2027"/>
      <c r="H429" s="2027"/>
      <c r="I429" s="2027"/>
      <c r="J429" s="2027" t="s">
        <v>2939</v>
      </c>
      <c r="K429" s="2027"/>
      <c r="L429" s="2027"/>
      <c r="M429" s="2027"/>
      <c r="N429" s="2016"/>
      <c r="O429" s="2029">
        <v>2</v>
      </c>
      <c r="P429" s="2029"/>
      <c r="Q429" s="2027"/>
      <c r="R429" s="2027"/>
      <c r="S429" s="2027"/>
      <c r="AA429" s="2464" t="s">
        <v>280</v>
      </c>
      <c r="AB429" s="2027" t="s">
        <v>4836</v>
      </c>
      <c r="AC429" s="2027"/>
      <c r="AD429" s="2027"/>
      <c r="AE429" s="2027"/>
      <c r="AF429" s="2027"/>
      <c r="AG429" s="2465">
        <f>$M$117</f>
        <v>13</v>
      </c>
      <c r="AH429" s="2465">
        <f>$M$117</f>
        <v>13</v>
      </c>
      <c r="AI429" s="2465">
        <f>$M$117</f>
        <v>13</v>
      </c>
      <c r="AJ429" s="2465">
        <f>$M$117</f>
        <v>13</v>
      </c>
      <c r="AK429" s="4002"/>
      <c r="AL429" s="4002"/>
      <c r="AM429" s="4002"/>
      <c r="AN429" s="4002"/>
      <c r="AP429" s="2145" t="s">
        <v>280</v>
      </c>
      <c r="AQ429" s="2336" t="s">
        <v>4836</v>
      </c>
      <c r="AR429" s="2342"/>
      <c r="AS429" s="2342"/>
      <c r="AT429" s="2342"/>
      <c r="AU429" s="2342"/>
      <c r="AV429" s="2337">
        <f>$O$117</f>
        <v>13</v>
      </c>
      <c r="AW429" s="2344">
        <f>$O$117</f>
        <v>13</v>
      </c>
      <c r="AX429" s="2337">
        <f>$O$117</f>
        <v>13</v>
      </c>
      <c r="AY429" s="2338">
        <f>$O$117</f>
        <v>13</v>
      </c>
      <c r="AZ429" s="2339">
        <f>$P$117</f>
        <v>0</v>
      </c>
      <c r="BA429" s="2340">
        <f>$P$117</f>
        <v>0</v>
      </c>
      <c r="BB429" s="2351">
        <f>$P$117</f>
        <v>0</v>
      </c>
      <c r="BC429" s="2352">
        <f>$P$117</f>
        <v>0</v>
      </c>
    </row>
    <row r="430" spans="2:58">
      <c r="B430" s="2027"/>
      <c r="C430" s="2027"/>
      <c r="D430" s="2027"/>
      <c r="E430" s="2027"/>
      <c r="F430" s="2027"/>
      <c r="G430" s="2027"/>
      <c r="H430" s="2027"/>
      <c r="I430" s="2027"/>
      <c r="J430" s="2027" t="s">
        <v>2940</v>
      </c>
      <c r="K430" s="2027"/>
      <c r="L430" s="2027"/>
      <c r="M430" s="2027"/>
      <c r="N430" s="2016"/>
      <c r="O430" s="2029">
        <v>2</v>
      </c>
      <c r="P430" s="2029"/>
      <c r="Q430" s="2027"/>
      <c r="R430" s="2027"/>
      <c r="S430" s="2027"/>
      <c r="AA430" s="2464" t="s">
        <v>400</v>
      </c>
      <c r="AB430" s="1997" t="s">
        <v>4029</v>
      </c>
      <c r="AC430" s="2027"/>
      <c r="AD430" s="2027"/>
      <c r="AE430" s="2027"/>
      <c r="AF430" s="2027"/>
      <c r="AG430" s="2465">
        <f>$M$141</f>
        <v>3</v>
      </c>
      <c r="AH430" s="2465">
        <f>$M$141</f>
        <v>3</v>
      </c>
      <c r="AI430" s="2465">
        <f>$M$141</f>
        <v>3</v>
      </c>
      <c r="AJ430" s="2465">
        <f>$M$141</f>
        <v>3</v>
      </c>
      <c r="AK430" s="1997" t="s">
        <v>4453</v>
      </c>
      <c r="AL430" s="1997"/>
      <c r="AM430" s="2011"/>
      <c r="AN430" s="2011"/>
      <c r="AP430" s="2145" t="s">
        <v>400</v>
      </c>
      <c r="AQ430" s="2336" t="s">
        <v>4029</v>
      </c>
      <c r="AR430" s="2342"/>
      <c r="AS430" s="2342"/>
      <c r="AT430" s="2342"/>
      <c r="AU430" s="2342"/>
      <c r="AV430" s="2337">
        <f>$O$141</f>
        <v>2</v>
      </c>
      <c r="AW430" s="2353">
        <f>$O$141</f>
        <v>2</v>
      </c>
      <c r="AX430" s="2347">
        <f>$O$141</f>
        <v>2</v>
      </c>
      <c r="AY430" s="2348">
        <f>$O$141</f>
        <v>2</v>
      </c>
      <c r="AZ430" s="2339">
        <f>$P$141</f>
        <v>0</v>
      </c>
      <c r="BA430" s="2352">
        <f>$P$141</f>
        <v>0</v>
      </c>
      <c r="BB430" s="2351">
        <f>$P$141</f>
        <v>0</v>
      </c>
      <c r="BC430" s="2352">
        <f>$P$141</f>
        <v>0</v>
      </c>
    </row>
    <row r="431" spans="2:58">
      <c r="B431" s="2027"/>
      <c r="C431" s="2027"/>
      <c r="D431" s="2027"/>
      <c r="E431" s="2027"/>
      <c r="F431" s="2027"/>
      <c r="G431" s="4003" t="s">
        <v>1405</v>
      </c>
      <c r="H431" s="4003"/>
      <c r="I431" s="4003"/>
      <c r="J431" s="2027" t="s">
        <v>2941</v>
      </c>
      <c r="K431" s="2027"/>
      <c r="L431" s="2027"/>
      <c r="M431" s="2027"/>
      <c r="N431" s="2016"/>
      <c r="O431" s="2029">
        <v>2</v>
      </c>
      <c r="P431" s="2029"/>
      <c r="Q431" s="2027"/>
      <c r="R431" s="2027"/>
      <c r="S431" s="2027"/>
      <c r="AA431" s="2464" t="s">
        <v>342</v>
      </c>
      <c r="AB431" s="1997" t="s">
        <v>4837</v>
      </c>
      <c r="AC431" s="2027"/>
      <c r="AD431" s="2027"/>
      <c r="AE431" s="2027"/>
      <c r="AF431" s="2027"/>
      <c r="AG431" s="2465">
        <f>$M$152</f>
        <v>2</v>
      </c>
      <c r="AH431" s="2465">
        <f>$M$152</f>
        <v>2</v>
      </c>
      <c r="AI431" s="2465">
        <f>$M$152</f>
        <v>2</v>
      </c>
      <c r="AJ431" s="2465">
        <f>$M$152</f>
        <v>2</v>
      </c>
      <c r="AK431" s="1997" t="s">
        <v>3224</v>
      </c>
      <c r="AL431" s="1997"/>
      <c r="AM431" s="2011"/>
      <c r="AN431" s="2011"/>
      <c r="AP431" s="2145" t="s">
        <v>342</v>
      </c>
      <c r="AQ431" s="2336" t="s">
        <v>4837</v>
      </c>
      <c r="AR431" s="2342"/>
      <c r="AS431" s="2342"/>
      <c r="AT431" s="2342"/>
      <c r="AU431" s="2342"/>
      <c r="AV431" s="2337">
        <f>$O$152</f>
        <v>2</v>
      </c>
      <c r="AW431" s="2344">
        <f>$O$152</f>
        <v>2</v>
      </c>
      <c r="AX431" s="2347">
        <f>$O$152</f>
        <v>2</v>
      </c>
      <c r="AY431" s="2348">
        <f>$O$152</f>
        <v>2</v>
      </c>
      <c r="AZ431" s="2339">
        <f>$P$152</f>
        <v>0</v>
      </c>
      <c r="BA431" s="2340">
        <f>$P$152</f>
        <v>0</v>
      </c>
      <c r="BB431" s="2351">
        <f>$P$152</f>
        <v>0</v>
      </c>
      <c r="BC431" s="2352">
        <f>$P$152</f>
        <v>0</v>
      </c>
    </row>
    <row r="432" spans="2:58">
      <c r="B432" s="2027"/>
      <c r="C432" s="2027"/>
      <c r="D432" s="2027"/>
      <c r="E432" s="2027"/>
      <c r="F432" s="2027"/>
      <c r="G432" s="2032" t="s">
        <v>3934</v>
      </c>
      <c r="H432" s="2027" t="s">
        <v>3935</v>
      </c>
      <c r="I432" s="2032" t="s">
        <v>3933</v>
      </c>
      <c r="J432" s="2027" t="s">
        <v>2942</v>
      </c>
      <c r="K432" s="2027"/>
      <c r="L432" s="2032"/>
      <c r="M432" s="2027"/>
      <c r="N432" s="2016"/>
      <c r="O432" s="2029">
        <v>2</v>
      </c>
      <c r="P432" s="2029"/>
      <c r="Q432" s="2027"/>
      <c r="R432" s="2027"/>
      <c r="S432" s="2027"/>
      <c r="AA432" s="2464" t="s">
        <v>343</v>
      </c>
      <c r="AB432" s="1997" t="s">
        <v>3307</v>
      </c>
      <c r="AC432" s="2027"/>
      <c r="AD432" s="2027"/>
      <c r="AE432" s="2027"/>
      <c r="AF432" s="2027"/>
      <c r="AG432" s="2465">
        <f>$M$160</f>
        <v>20</v>
      </c>
      <c r="AH432" s="2465">
        <f>$M$160</f>
        <v>20</v>
      </c>
      <c r="AI432" s="2465"/>
      <c r="AJ432" s="2465"/>
      <c r="AK432" s="1997" t="s">
        <v>4045</v>
      </c>
      <c r="AL432" s="1997"/>
      <c r="AM432" s="2011"/>
      <c r="AN432" s="2011"/>
      <c r="AP432" s="2145" t="s">
        <v>343</v>
      </c>
      <c r="AQ432" s="2336" t="s">
        <v>3307</v>
      </c>
      <c r="AR432" s="2342"/>
      <c r="AS432" s="2342"/>
      <c r="AT432" s="2342"/>
      <c r="AU432" s="2342"/>
      <c r="AV432" s="2345">
        <f>$O$160</f>
        <v>20</v>
      </c>
      <c r="AW432" s="2346">
        <f>$O$160</f>
        <v>20</v>
      </c>
      <c r="AX432" s="2355"/>
      <c r="AY432" s="2356"/>
      <c r="AZ432" s="2349">
        <f>$P$160</f>
        <v>0</v>
      </c>
      <c r="BA432" s="2350">
        <f>$P$160</f>
        <v>0</v>
      </c>
      <c r="BB432" s="2357"/>
      <c r="BC432" s="2358"/>
    </row>
    <row r="433" spans="1:55">
      <c r="B433" s="2027"/>
      <c r="C433" s="2033"/>
      <c r="D433" s="2027"/>
      <c r="E433" s="2027"/>
      <c r="F433" s="2027"/>
      <c r="G433" s="2034" t="s">
        <v>2314</v>
      </c>
      <c r="H433" s="2027"/>
      <c r="I433" s="2034"/>
      <c r="J433" s="2027" t="s">
        <v>3167</v>
      </c>
      <c r="K433" s="2027"/>
      <c r="L433" s="2034"/>
      <c r="M433" s="2027"/>
      <c r="N433" s="2016"/>
      <c r="O433" s="2029">
        <v>2</v>
      </c>
      <c r="P433" s="2029"/>
      <c r="Q433" s="2027"/>
      <c r="R433" s="2027"/>
      <c r="S433" s="2027"/>
      <c r="AA433" s="2464" t="s">
        <v>344</v>
      </c>
      <c r="AB433" s="1997" t="s">
        <v>3910</v>
      </c>
      <c r="AC433" s="2027"/>
      <c r="AD433" s="2027"/>
      <c r="AE433" s="2027"/>
      <c r="AF433" s="2027"/>
      <c r="AG433" s="2468">
        <f>$M$169</f>
        <v>6</v>
      </c>
      <c r="AH433" s="2468">
        <f>$M$169</f>
        <v>6</v>
      </c>
      <c r="AI433" s="2468"/>
      <c r="AJ433" s="2468"/>
      <c r="AK433" s="1997" t="s">
        <v>4408</v>
      </c>
      <c r="AL433" s="1997"/>
      <c r="AM433" s="2011" t="s">
        <v>4750</v>
      </c>
      <c r="AN433" s="2011" t="str">
        <f>IF('Part VII-Threshold Criteria'!$P$227="Agree","Yes","")</f>
        <v/>
      </c>
      <c r="AP433" s="2145" t="s">
        <v>344</v>
      </c>
      <c r="AQ433" s="2336" t="s">
        <v>3910</v>
      </c>
      <c r="AR433" s="2342"/>
      <c r="AS433" s="2342"/>
      <c r="AT433" s="2342"/>
      <c r="AU433" s="2342"/>
      <c r="AV433" s="2345">
        <f>$O$169</f>
        <v>2</v>
      </c>
      <c r="AW433" s="2346">
        <f>$O$169</f>
        <v>2</v>
      </c>
      <c r="AX433" s="2355"/>
      <c r="AY433" s="2356"/>
      <c r="AZ433" s="2349">
        <f>$P$169</f>
        <v>0</v>
      </c>
      <c r="BA433" s="2350">
        <f>$P$169</f>
        <v>0</v>
      </c>
      <c r="BB433" s="2357"/>
      <c r="BC433" s="2358"/>
    </row>
    <row r="434" spans="1:55">
      <c r="B434" s="2027"/>
      <c r="C434" s="2033"/>
      <c r="D434" s="2027"/>
      <c r="E434" s="2027"/>
      <c r="F434" s="2027"/>
      <c r="G434" s="2034" t="s">
        <v>435</v>
      </c>
      <c r="H434" s="2016" t="s">
        <v>3937</v>
      </c>
      <c r="I434" s="2032" t="s">
        <v>2446</v>
      </c>
      <c r="J434" s="2027" t="s">
        <v>2943</v>
      </c>
      <c r="K434" s="2027"/>
      <c r="L434" s="2033"/>
      <c r="M434" s="2027"/>
      <c r="N434" s="2016"/>
      <c r="O434" s="2029">
        <v>1</v>
      </c>
      <c r="P434" s="2029"/>
      <c r="Q434" s="2027"/>
      <c r="R434" s="2027"/>
      <c r="S434" s="2027"/>
      <c r="AA434" s="2464" t="s">
        <v>1602</v>
      </c>
      <c r="AB434" s="1997" t="s">
        <v>3252</v>
      </c>
      <c r="AC434" s="2027"/>
      <c r="AD434" s="2027"/>
      <c r="AE434" s="2027"/>
      <c r="AF434" s="2027"/>
      <c r="AG434" s="2465">
        <f>$M$190</f>
        <v>3</v>
      </c>
      <c r="AH434" s="2465">
        <f>$M$190</f>
        <v>3</v>
      </c>
      <c r="AI434" s="2465"/>
      <c r="AJ434" s="2465"/>
      <c r="AK434" s="2027"/>
      <c r="AL434" s="1997"/>
      <c r="AM434" s="2011" t="s">
        <v>4044</v>
      </c>
      <c r="AN434" s="2011" t="str">
        <f>IF('Part VII-Threshold Criteria'!$P$230="Agree","Yes","")</f>
        <v/>
      </c>
      <c r="AP434" s="2145" t="s">
        <v>1602</v>
      </c>
      <c r="AQ434" s="2336" t="s">
        <v>3252</v>
      </c>
      <c r="AR434" s="2342"/>
      <c r="AS434" s="2342"/>
      <c r="AT434" s="2342"/>
      <c r="AU434" s="2342"/>
      <c r="AV434" s="2345">
        <f>$O$190</f>
        <v>3</v>
      </c>
      <c r="AW434" s="2346">
        <f>$O$190</f>
        <v>3</v>
      </c>
      <c r="AX434" s="2355"/>
      <c r="AY434" s="2356"/>
      <c r="AZ434" s="2349">
        <f>$P$190</f>
        <v>0</v>
      </c>
      <c r="BA434" s="2350">
        <f>$P$190</f>
        <v>0</v>
      </c>
      <c r="BB434" s="2357"/>
      <c r="BC434" s="2358"/>
    </row>
    <row r="435" spans="1:55">
      <c r="B435" s="2027"/>
      <c r="C435" s="2033"/>
      <c r="D435" s="2027"/>
      <c r="E435" s="2027"/>
      <c r="F435" s="2027"/>
      <c r="G435" s="2034" t="s">
        <v>1652</v>
      </c>
      <c r="H435" s="2016">
        <v>2020</v>
      </c>
      <c r="I435" s="2016" t="s">
        <v>3936</v>
      </c>
      <c r="J435" s="2027" t="s">
        <v>2944</v>
      </c>
      <c r="K435" s="2027"/>
      <c r="L435" s="2033"/>
      <c r="M435" s="2027"/>
      <c r="N435" s="2016"/>
      <c r="O435" s="2029">
        <v>1</v>
      </c>
      <c r="P435" s="2029"/>
      <c r="Q435" s="2027"/>
      <c r="R435" s="2027"/>
      <c r="S435" s="2027"/>
      <c r="AA435" s="2464" t="s">
        <v>3283</v>
      </c>
      <c r="AB435" s="1997" t="s">
        <v>3308</v>
      </c>
      <c r="AC435" s="2027"/>
      <c r="AD435" s="2027"/>
      <c r="AE435" s="2027"/>
      <c r="AF435" s="2027"/>
      <c r="AG435" s="2465">
        <f>$M$206</f>
        <v>10</v>
      </c>
      <c r="AH435" s="2465">
        <f>$M$206</f>
        <v>10</v>
      </c>
      <c r="AI435" s="2465"/>
      <c r="AJ435" s="2465"/>
      <c r="AK435" s="1997"/>
      <c r="AL435" s="1997"/>
      <c r="AM435" s="2011" t="s">
        <v>4454</v>
      </c>
      <c r="AN435" s="2011" t="str">
        <f>IF('Part VII-Threshold Criteria'!$P$231="Agree","Yes","")</f>
        <v/>
      </c>
      <c r="AP435" s="2145" t="s">
        <v>3283</v>
      </c>
      <c r="AQ435" s="2336" t="s">
        <v>3308</v>
      </c>
      <c r="AR435" s="2342"/>
      <c r="AS435" s="2342"/>
      <c r="AT435" s="2342"/>
      <c r="AU435" s="2342"/>
      <c r="AV435" s="2345">
        <f>$O$206</f>
        <v>0</v>
      </c>
      <c r="AW435" s="2346">
        <f>$O$206</f>
        <v>0</v>
      </c>
      <c r="AX435" s="2355"/>
      <c r="AY435" s="2356"/>
      <c r="AZ435" s="2349">
        <f>$P$206</f>
        <v>0</v>
      </c>
      <c r="BA435" s="2350">
        <f>$P$206</f>
        <v>0</v>
      </c>
      <c r="BB435" s="2357"/>
      <c r="BC435" s="2358"/>
    </row>
    <row r="436" spans="1:55">
      <c r="B436" s="2027"/>
      <c r="C436" s="2033"/>
      <c r="D436" s="2027"/>
      <c r="E436" s="2027"/>
      <c r="F436" s="2027"/>
      <c r="G436" s="2034" t="s">
        <v>2345</v>
      </c>
      <c r="H436" s="2016" t="s">
        <v>1607</v>
      </c>
      <c r="I436" s="2032" t="s">
        <v>2446</v>
      </c>
      <c r="J436" s="2027" t="s">
        <v>2945</v>
      </c>
      <c r="K436" s="2027"/>
      <c r="L436" s="2033"/>
      <c r="M436" s="2027"/>
      <c r="N436" s="2016"/>
      <c r="O436" s="2029">
        <v>1</v>
      </c>
      <c r="P436" s="2029"/>
      <c r="Q436" s="2027"/>
      <c r="R436" s="2027"/>
      <c r="S436" s="2027"/>
      <c r="AA436" s="2464" t="s">
        <v>2075</v>
      </c>
      <c r="AB436" s="1997" t="s">
        <v>3911</v>
      </c>
      <c r="AC436" s="2027"/>
      <c r="AD436" s="2027"/>
      <c r="AE436" s="2027"/>
      <c r="AF436" s="2027"/>
      <c r="AG436" s="2465">
        <f>$M$238</f>
        <v>10</v>
      </c>
      <c r="AH436" s="2465">
        <f>$M$238</f>
        <v>10</v>
      </c>
      <c r="AI436" s="2465"/>
      <c r="AJ436" s="2465"/>
      <c r="AK436" s="1997"/>
      <c r="AL436" s="1997"/>
      <c r="AM436" s="2011" t="s">
        <v>4455</v>
      </c>
      <c r="AN436" s="2011" t="str">
        <f>IF('Part VII-Threshold Criteria'!$P$232="Agree","Yes","")</f>
        <v/>
      </c>
      <c r="AP436" s="2145" t="s">
        <v>2075</v>
      </c>
      <c r="AQ436" s="2336" t="s">
        <v>3911</v>
      </c>
      <c r="AR436" s="2342"/>
      <c r="AS436" s="2342"/>
      <c r="AT436" s="2342"/>
      <c r="AU436" s="2342"/>
      <c r="AV436" s="2337">
        <f>$O$238</f>
        <v>9</v>
      </c>
      <c r="AW436" s="2344">
        <f>$O$238</f>
        <v>9</v>
      </c>
      <c r="AX436" s="2359"/>
      <c r="AY436" s="2360"/>
      <c r="AZ436" s="2339">
        <f>$P$238</f>
        <v>0</v>
      </c>
      <c r="BA436" s="2340">
        <f>$P$238</f>
        <v>0</v>
      </c>
      <c r="BB436" s="2361"/>
      <c r="BC436" s="2362"/>
    </row>
    <row r="437" spans="1:55">
      <c r="B437" s="2027"/>
      <c r="C437" s="2033"/>
      <c r="D437" s="2027"/>
      <c r="E437" s="2027"/>
      <c r="F437" s="2027"/>
      <c r="G437" s="2034" t="s">
        <v>970</v>
      </c>
      <c r="H437" s="2016">
        <v>2020</v>
      </c>
      <c r="I437" s="2016" t="s">
        <v>3936</v>
      </c>
      <c r="J437" s="2027" t="s">
        <v>3168</v>
      </c>
      <c r="K437" s="2027"/>
      <c r="L437" s="2033"/>
      <c r="M437" s="2027"/>
      <c r="N437" s="2016"/>
      <c r="O437" s="2029">
        <v>1</v>
      </c>
      <c r="P437" s="2029"/>
      <c r="Q437" s="2027"/>
      <c r="R437" s="2027"/>
      <c r="S437" s="2027"/>
      <c r="AA437" s="2464" t="s">
        <v>3283</v>
      </c>
      <c r="AB437" s="1997" t="s">
        <v>3179</v>
      </c>
      <c r="AC437" s="2027"/>
      <c r="AD437" s="2027"/>
      <c r="AE437" s="2027"/>
      <c r="AF437" s="2027"/>
      <c r="AG437" s="2465">
        <f>$M$265</f>
        <v>10</v>
      </c>
      <c r="AH437" s="2465">
        <f>$M$265</f>
        <v>10</v>
      </c>
      <c r="AI437" s="2465"/>
      <c r="AJ437" s="2465"/>
      <c r="AK437" s="1997" t="s">
        <v>2437</v>
      </c>
      <c r="AL437" s="1997"/>
      <c r="AM437" s="2011"/>
      <c r="AN437" s="2011"/>
      <c r="AP437" s="2145" t="s">
        <v>3283</v>
      </c>
      <c r="AQ437" s="2336" t="s">
        <v>3179</v>
      </c>
      <c r="AR437" s="2342"/>
      <c r="AS437" s="2342"/>
      <c r="AT437" s="2342"/>
      <c r="AU437" s="2342"/>
      <c r="AV437" s="2337">
        <f>$O$265</f>
        <v>0</v>
      </c>
      <c r="AW437" s="2344">
        <f>$O$265</f>
        <v>0</v>
      </c>
      <c r="AX437" s="2359"/>
      <c r="AY437" s="2360"/>
      <c r="AZ437" s="2339">
        <f>$P$265</f>
        <v>0</v>
      </c>
      <c r="BA437" s="2340">
        <f>$P$265</f>
        <v>0</v>
      </c>
      <c r="BB437" s="2361"/>
      <c r="BC437" s="2362"/>
    </row>
    <row r="438" spans="1:55">
      <c r="B438" s="2027"/>
      <c r="C438" s="2033"/>
      <c r="D438" s="2027"/>
      <c r="E438" s="2027"/>
      <c r="F438" s="2027"/>
      <c r="G438" s="2034" t="s">
        <v>3190</v>
      </c>
      <c r="H438" s="2016">
        <v>2019</v>
      </c>
      <c r="I438" s="2016" t="s">
        <v>3936</v>
      </c>
      <c r="J438" s="2027" t="s">
        <v>2953</v>
      </c>
      <c r="K438" s="2027"/>
      <c r="L438" s="2033"/>
      <c r="M438" s="2027"/>
      <c r="N438" s="2016"/>
      <c r="O438" s="2029">
        <v>1</v>
      </c>
      <c r="P438" s="2029"/>
      <c r="Q438" s="2027"/>
      <c r="R438" s="2027"/>
      <c r="S438" s="2027"/>
      <c r="AA438" s="2464" t="s">
        <v>3284</v>
      </c>
      <c r="AB438" s="1997" t="s">
        <v>4031</v>
      </c>
      <c r="AC438" s="2027"/>
      <c r="AD438" s="2027"/>
      <c r="AE438" s="2027"/>
      <c r="AF438" s="2027"/>
      <c r="AG438" s="2465">
        <f>$M$274</f>
        <v>4</v>
      </c>
      <c r="AH438" s="2465">
        <f>$M$274</f>
        <v>4</v>
      </c>
      <c r="AI438" s="2465"/>
      <c r="AJ438" s="2465"/>
      <c r="AK438" s="1997" t="s">
        <v>4456</v>
      </c>
      <c r="AL438" s="1997"/>
      <c r="AM438" s="2011"/>
      <c r="AN438" s="2011"/>
      <c r="AP438" s="2145" t="s">
        <v>3284</v>
      </c>
      <c r="AQ438" s="2336" t="s">
        <v>4031</v>
      </c>
      <c r="AR438" s="2342"/>
      <c r="AS438" s="2342"/>
      <c r="AT438" s="2342"/>
      <c r="AU438" s="2342"/>
      <c r="AV438" s="2337">
        <f>$O$274</f>
        <v>0</v>
      </c>
      <c r="AW438" s="2344">
        <f>$O$274</f>
        <v>0</v>
      </c>
      <c r="AX438" s="2359"/>
      <c r="AY438" s="2360"/>
      <c r="AZ438" s="2339">
        <f>$P$274</f>
        <v>0</v>
      </c>
      <c r="BA438" s="2340">
        <f>$P$274</f>
        <v>0</v>
      </c>
      <c r="BB438" s="2361"/>
      <c r="BC438" s="2362"/>
    </row>
    <row r="439" spans="1:55">
      <c r="B439" s="2027"/>
      <c r="C439" s="2033"/>
      <c r="D439" s="2027"/>
      <c r="E439" s="2027"/>
      <c r="F439" s="2027"/>
      <c r="G439" s="2034" t="s">
        <v>340</v>
      </c>
      <c r="H439" s="2016" t="s">
        <v>1607</v>
      </c>
      <c r="I439" s="2032" t="s">
        <v>2446</v>
      </c>
      <c r="J439" s="2027" t="s">
        <v>2946</v>
      </c>
      <c r="K439" s="2027"/>
      <c r="L439" s="2033"/>
      <c r="M439" s="2027"/>
      <c r="N439" s="2016"/>
      <c r="O439" s="2029">
        <v>1</v>
      </c>
      <c r="P439" s="2029"/>
      <c r="Q439" s="2027"/>
      <c r="R439" s="2027"/>
      <c r="S439" s="2027"/>
      <c r="AA439" s="2464" t="s">
        <v>3282</v>
      </c>
      <c r="AB439" s="1997" t="s">
        <v>3915</v>
      </c>
      <c r="AC439" s="2027"/>
      <c r="AD439" s="2027"/>
      <c r="AE439" s="2027"/>
      <c r="AF439" s="2027"/>
      <c r="AG439" s="2465">
        <f>$M$286</f>
        <v>5</v>
      </c>
      <c r="AH439" s="2465"/>
      <c r="AI439" s="2465"/>
      <c r="AJ439" s="2465"/>
      <c r="AK439" s="1997" t="s">
        <v>4457</v>
      </c>
      <c r="AL439" s="1997"/>
      <c r="AM439" s="2011"/>
      <c r="AN439" s="2466">
        <f>'Part II-Sources of Funds'!$L$14</f>
        <v>0</v>
      </c>
      <c r="AP439" s="2145" t="s">
        <v>3282</v>
      </c>
      <c r="AQ439" s="2336" t="s">
        <v>3915</v>
      </c>
      <c r="AR439" s="2342"/>
      <c r="AS439" s="2342"/>
      <c r="AT439" s="2342"/>
      <c r="AU439" s="2342"/>
      <c r="AV439" s="2337">
        <f>$O$286</f>
        <v>3</v>
      </c>
      <c r="AW439" s="2363"/>
      <c r="AX439" s="2364"/>
      <c r="AY439" s="2360"/>
      <c r="AZ439" s="2339">
        <f>$P$286</f>
        <v>0</v>
      </c>
      <c r="BA439" s="2365"/>
      <c r="BB439" s="2366"/>
      <c r="BC439" s="2362"/>
    </row>
    <row r="440" spans="1:55">
      <c r="B440" s="2027"/>
      <c r="C440" s="2033"/>
      <c r="D440" s="2027"/>
      <c r="E440" s="2027"/>
      <c r="F440" s="2027"/>
      <c r="G440" s="2034" t="s">
        <v>1630</v>
      </c>
      <c r="H440" s="2016">
        <v>2020</v>
      </c>
      <c r="I440" s="2016" t="s">
        <v>3936</v>
      </c>
      <c r="J440" s="2027" t="s">
        <v>2947</v>
      </c>
      <c r="K440" s="2027"/>
      <c r="L440" s="2033"/>
      <c r="M440" s="2027"/>
      <c r="N440" s="2016"/>
      <c r="O440" s="2029">
        <v>1</v>
      </c>
      <c r="P440" s="2029"/>
      <c r="Q440" s="2027"/>
      <c r="R440" s="2027"/>
      <c r="S440" s="2027"/>
      <c r="AA440" s="2464" t="s">
        <v>3285</v>
      </c>
      <c r="AB440" s="2027" t="s">
        <v>4838</v>
      </c>
      <c r="AC440" s="2027"/>
      <c r="AD440" s="2027"/>
      <c r="AE440" s="2027"/>
      <c r="AF440" s="2027"/>
      <c r="AG440" s="2465">
        <f>$M$303</f>
        <v>10</v>
      </c>
      <c r="AH440" s="2465"/>
      <c r="AI440" s="2465"/>
      <c r="AJ440" s="2465"/>
      <c r="AK440" s="2027"/>
      <c r="AL440" s="2027"/>
      <c r="AM440" s="2016"/>
      <c r="AN440" s="2027"/>
      <c r="AP440" s="2145" t="s">
        <v>3285</v>
      </c>
      <c r="AQ440" s="2336" t="s">
        <v>4838</v>
      </c>
      <c r="AR440" s="2342"/>
      <c r="AS440" s="2342"/>
      <c r="AT440" s="2342"/>
      <c r="AU440" s="2342"/>
      <c r="AV440" s="2337">
        <f>$O$303</f>
        <v>0</v>
      </c>
      <c r="AW440" s="2363"/>
      <c r="AX440" s="2364"/>
      <c r="AY440" s="2360"/>
      <c r="AZ440" s="2339">
        <f>$P$303</f>
        <v>0</v>
      </c>
      <c r="BA440" s="2365"/>
      <c r="BB440" s="2366"/>
      <c r="BC440" s="2362"/>
    </row>
    <row r="441" spans="1:55">
      <c r="B441" s="2027"/>
      <c r="C441" s="2033"/>
      <c r="D441" s="2027"/>
      <c r="E441" s="2027"/>
      <c r="F441" s="2027"/>
      <c r="G441" s="2034" t="s">
        <v>1904</v>
      </c>
      <c r="H441" s="2016" t="s">
        <v>3937</v>
      </c>
      <c r="I441" s="2032" t="s">
        <v>2446</v>
      </c>
      <c r="J441" s="2027" t="s">
        <v>2948</v>
      </c>
      <c r="K441" s="2027"/>
      <c r="L441" s="2033"/>
      <c r="M441" s="2027"/>
      <c r="N441" s="2016"/>
      <c r="O441" s="2029">
        <v>1</v>
      </c>
      <c r="P441" s="2029"/>
      <c r="Q441" s="2027"/>
      <c r="R441" s="2027"/>
      <c r="S441" s="2027"/>
      <c r="AA441" s="2464" t="s">
        <v>3286</v>
      </c>
      <c r="AB441" s="2027" t="s">
        <v>4839</v>
      </c>
      <c r="AC441" s="2027"/>
      <c r="AD441" s="2027"/>
      <c r="AE441" s="2027"/>
      <c r="AF441" s="2027"/>
      <c r="AG441" s="2465">
        <f>$M$317</f>
        <v>1</v>
      </c>
      <c r="AH441" s="2465"/>
      <c r="AI441" s="2465"/>
      <c r="AJ441" s="2465"/>
      <c r="AK441" s="2027"/>
      <c r="AL441" s="2027"/>
      <c r="AM441" s="2016"/>
      <c r="AN441" s="2027"/>
      <c r="AP441" s="2145" t="s">
        <v>3286</v>
      </c>
      <c r="AQ441" s="2336" t="s">
        <v>4839</v>
      </c>
      <c r="AR441" s="2342"/>
      <c r="AS441" s="2342"/>
      <c r="AT441" s="2342"/>
      <c r="AU441" s="2342"/>
      <c r="AV441" s="2337">
        <f>$O$317</f>
        <v>0</v>
      </c>
      <c r="AW441" s="2367"/>
      <c r="AX441" s="2359"/>
      <c r="AY441" s="2360"/>
      <c r="AZ441" s="2339">
        <f>$P$317</f>
        <v>0</v>
      </c>
      <c r="BA441" s="2362"/>
      <c r="BB441" s="2361"/>
      <c r="BC441" s="2362"/>
    </row>
    <row r="442" spans="1:55">
      <c r="A442" s="2027"/>
      <c r="B442" s="2027"/>
      <c r="C442" s="2027"/>
      <c r="D442" s="2027"/>
      <c r="E442" s="2027"/>
      <c r="F442" s="2027"/>
      <c r="G442" s="2034" t="s">
        <v>82</v>
      </c>
      <c r="H442" s="2016" t="s">
        <v>3937</v>
      </c>
      <c r="I442" s="2032" t="s">
        <v>2446</v>
      </c>
      <c r="J442" s="2027" t="s">
        <v>2949</v>
      </c>
      <c r="K442" s="2027"/>
      <c r="L442" s="2033"/>
      <c r="M442" s="2027"/>
      <c r="N442" s="2016"/>
      <c r="O442" s="2029">
        <v>1</v>
      </c>
      <c r="P442" s="2029"/>
      <c r="Q442" s="2027"/>
      <c r="R442" s="2027"/>
      <c r="S442" s="2027"/>
      <c r="AA442" s="2464" t="s">
        <v>3289</v>
      </c>
      <c r="AB442" s="1997" t="s">
        <v>4030</v>
      </c>
      <c r="AC442" s="2027"/>
      <c r="AD442" s="2027"/>
      <c r="AE442" s="2027"/>
      <c r="AF442" s="2027"/>
      <c r="AG442" s="2465">
        <f>$M$331</f>
        <v>1</v>
      </c>
      <c r="AH442" s="2465"/>
      <c r="AI442" s="2465"/>
      <c r="AJ442" s="2465"/>
      <c r="AK442" s="2027"/>
      <c r="AL442" s="2027"/>
      <c r="AM442" s="2016"/>
      <c r="AN442" s="2027"/>
      <c r="AP442" s="2145" t="s">
        <v>3289</v>
      </c>
      <c r="AQ442" s="2336" t="s">
        <v>4030</v>
      </c>
      <c r="AR442" s="2342"/>
      <c r="AS442" s="2342"/>
      <c r="AT442" s="2342"/>
      <c r="AU442" s="2342"/>
      <c r="AV442" s="2337">
        <f>$O$331</f>
        <v>1</v>
      </c>
      <c r="AW442" s="2367"/>
      <c r="AX442" s="2359"/>
      <c r="AY442" s="2360"/>
      <c r="AZ442" s="2339">
        <f>$P$331</f>
        <v>0</v>
      </c>
      <c r="BA442" s="2362"/>
      <c r="BB442" s="2361"/>
      <c r="BC442" s="2362"/>
    </row>
    <row r="443" spans="1:55">
      <c r="A443" s="2027"/>
      <c r="B443" s="2027"/>
      <c r="C443" s="2027"/>
      <c r="D443" s="2027"/>
      <c r="E443" s="2027"/>
      <c r="F443" s="2027"/>
      <c r="G443" s="2034" t="s">
        <v>836</v>
      </c>
      <c r="H443" s="2016">
        <v>2019</v>
      </c>
      <c r="I443" s="2016" t="s">
        <v>3936</v>
      </c>
      <c r="J443" s="2027" t="s">
        <v>2952</v>
      </c>
      <c r="K443" s="2027"/>
      <c r="L443" s="2033"/>
      <c r="M443" s="2027"/>
      <c r="N443" s="2016"/>
      <c r="O443" s="2029">
        <v>1</v>
      </c>
      <c r="P443" s="2029"/>
      <c r="Q443" s="2027"/>
      <c r="R443" s="2027"/>
      <c r="S443" s="2027"/>
      <c r="AA443" s="2464" t="s">
        <v>3290</v>
      </c>
      <c r="AB443" s="1997" t="s">
        <v>3312</v>
      </c>
      <c r="AC443" s="2027"/>
      <c r="AD443" s="2027"/>
      <c r="AE443" s="2027"/>
      <c r="AF443" s="2027"/>
      <c r="AG443" s="2465">
        <f>$M$339</f>
        <v>2</v>
      </c>
      <c r="AH443" s="2465"/>
      <c r="AI443" s="2465"/>
      <c r="AJ443" s="2465"/>
      <c r="AK443" s="2027"/>
      <c r="AL443" s="2027"/>
      <c r="AM443" s="2016"/>
      <c r="AN443" s="2027"/>
      <c r="AP443" s="2145" t="s">
        <v>3290</v>
      </c>
      <c r="AQ443" s="2336" t="s">
        <v>3312</v>
      </c>
      <c r="AR443" s="2342"/>
      <c r="AS443" s="2342"/>
      <c r="AT443" s="2342"/>
      <c r="AU443" s="2342"/>
      <c r="AV443" s="2337">
        <f>$O$339</f>
        <v>0</v>
      </c>
      <c r="AW443" s="2367"/>
      <c r="AX443" s="2359"/>
      <c r="AY443" s="2360"/>
      <c r="AZ443" s="2339">
        <f>$P$339</f>
        <v>0</v>
      </c>
      <c r="BA443" s="2362"/>
      <c r="BB443" s="2361"/>
      <c r="BC443" s="2362"/>
    </row>
    <row r="444" spans="1:55">
      <c r="A444" s="2027" t="s">
        <v>2491</v>
      </c>
      <c r="B444" s="2027"/>
      <c r="C444" s="2027"/>
      <c r="D444" s="2027"/>
      <c r="E444" s="2027"/>
      <c r="F444" s="2027"/>
      <c r="G444" s="2034" t="s">
        <v>1981</v>
      </c>
      <c r="H444" s="2016" t="s">
        <v>3937</v>
      </c>
      <c r="I444" s="2032" t="s">
        <v>2446</v>
      </c>
      <c r="J444" s="2027" t="s">
        <v>2950</v>
      </c>
      <c r="K444" s="2027"/>
      <c r="L444" s="2033"/>
      <c r="M444" s="2027"/>
      <c r="N444" s="2016"/>
      <c r="O444" s="2029">
        <v>1</v>
      </c>
      <c r="P444" s="2029"/>
      <c r="Q444" s="2027"/>
      <c r="R444" s="2027"/>
      <c r="S444" s="2027"/>
      <c r="AA444" s="2464" t="s">
        <v>3291</v>
      </c>
      <c r="AB444" s="1997" t="s">
        <v>4451</v>
      </c>
      <c r="AC444" s="2027"/>
      <c r="AD444" s="2027"/>
      <c r="AE444" s="2027"/>
      <c r="AF444" s="2027"/>
      <c r="AG444" s="2465">
        <f>$M$350</f>
        <v>2</v>
      </c>
      <c r="AH444" s="2465"/>
      <c r="AI444" s="2467">
        <f>$M$350</f>
        <v>2</v>
      </c>
      <c r="AJ444" s="2465"/>
      <c r="AK444" s="2027"/>
      <c r="AL444" s="2027"/>
      <c r="AM444" s="2016"/>
      <c r="AN444" s="2027"/>
      <c r="AP444" s="2145" t="s">
        <v>3291</v>
      </c>
      <c r="AQ444" s="2336" t="s">
        <v>4451</v>
      </c>
      <c r="AR444" s="2342"/>
      <c r="AS444" s="2342"/>
      <c r="AT444" s="2342"/>
      <c r="AU444" s="2342"/>
      <c r="AV444" s="2337">
        <f>$O$350</f>
        <v>2</v>
      </c>
      <c r="AW444" s="2367"/>
      <c r="AX444" s="2337">
        <f>$O$350</f>
        <v>2</v>
      </c>
      <c r="AY444" s="2360"/>
      <c r="AZ444" s="2339">
        <f>$P$350</f>
        <v>0</v>
      </c>
      <c r="BA444" s="2362"/>
      <c r="BB444" s="2341">
        <f>$P$350</f>
        <v>0</v>
      </c>
      <c r="BC444" s="2362"/>
    </row>
    <row r="445" spans="1:55">
      <c r="A445" s="2027" t="s">
        <v>2506</v>
      </c>
      <c r="B445" s="2027"/>
      <c r="C445" s="2027"/>
      <c r="D445" s="2027"/>
      <c r="E445" s="2027"/>
      <c r="F445" s="2027"/>
      <c r="G445" s="2034" t="s">
        <v>1902</v>
      </c>
      <c r="H445" s="2016">
        <v>2019</v>
      </c>
      <c r="I445" s="2016" t="s">
        <v>3936</v>
      </c>
      <c r="J445" s="2027" t="s">
        <v>2951</v>
      </c>
      <c r="K445" s="2027"/>
      <c r="L445" s="2033"/>
      <c r="M445" s="2027"/>
      <c r="N445" s="2016"/>
      <c r="O445" s="2029">
        <v>1</v>
      </c>
      <c r="P445" s="2029"/>
      <c r="Q445" s="2027"/>
      <c r="R445" s="2027"/>
      <c r="S445" s="2027"/>
      <c r="AA445" s="2464" t="s">
        <v>3292</v>
      </c>
      <c r="AB445" s="1997" t="s">
        <v>3310</v>
      </c>
      <c r="AC445" s="2027"/>
      <c r="AD445" s="2027"/>
      <c r="AE445" s="2027"/>
      <c r="AF445" s="2027"/>
      <c r="AG445" s="2465">
        <f>$M$359</f>
        <v>2</v>
      </c>
      <c r="AH445" s="2465"/>
      <c r="AI445" s="2467">
        <f>$M$359</f>
        <v>2</v>
      </c>
      <c r="AJ445" s="2465"/>
      <c r="AK445" s="2027"/>
      <c r="AL445" s="2027"/>
      <c r="AM445" s="2016"/>
      <c r="AN445" s="2027"/>
      <c r="AP445" s="2145" t="s">
        <v>3292</v>
      </c>
      <c r="AQ445" s="2336" t="s">
        <v>3310</v>
      </c>
      <c r="AR445" s="2342"/>
      <c r="AS445" s="2342"/>
      <c r="AT445" s="2342"/>
      <c r="AU445" s="2342"/>
      <c r="AV445" s="2337">
        <f>$O$359</f>
        <v>0</v>
      </c>
      <c r="AW445" s="2367"/>
      <c r="AX445" s="2337">
        <f>$O$359</f>
        <v>0</v>
      </c>
      <c r="AY445" s="2360"/>
      <c r="AZ445" s="2339">
        <f>$P$359</f>
        <v>0</v>
      </c>
      <c r="BA445" s="2362"/>
      <c r="BB445" s="2341">
        <f>$P$359</f>
        <v>0</v>
      </c>
      <c r="BC445" s="2362"/>
    </row>
    <row r="446" spans="1:55">
      <c r="A446" s="2033" t="s">
        <v>2933</v>
      </c>
      <c r="B446" s="2027"/>
      <c r="C446" s="2027"/>
      <c r="D446" s="2033"/>
      <c r="E446" s="2033">
        <v>3</v>
      </c>
      <c r="F446" s="2027"/>
      <c r="G446" s="2034" t="s">
        <v>322</v>
      </c>
      <c r="H446" s="2016">
        <v>2019</v>
      </c>
      <c r="I446" s="2016" t="s">
        <v>3936</v>
      </c>
      <c r="J446" s="2027"/>
      <c r="K446" s="2027"/>
      <c r="L446" s="2033"/>
      <c r="M446" s="2027"/>
      <c r="N446" s="2016"/>
      <c r="O446" s="2029"/>
      <c r="P446" s="2029"/>
      <c r="Q446" s="2027"/>
      <c r="R446" s="2027"/>
      <c r="S446" s="2027"/>
      <c r="AA446" s="2464" t="s">
        <v>3293</v>
      </c>
      <c r="AB446" s="2027" t="s">
        <v>4840</v>
      </c>
      <c r="AC446" s="2027"/>
      <c r="AD446" s="2027"/>
      <c r="AE446" s="2027"/>
      <c r="AF446" s="2027"/>
      <c r="AG446" s="2465"/>
      <c r="AH446" s="2465"/>
      <c r="AI446" s="2465">
        <f>$M$368</f>
        <v>0</v>
      </c>
      <c r="AJ446" s="2465">
        <f>$M$368</f>
        <v>0</v>
      </c>
      <c r="AK446" s="2027"/>
      <c r="AL446" s="2027"/>
      <c r="AM446" s="2016"/>
      <c r="AN446" s="2027"/>
      <c r="AP446" s="2145" t="s">
        <v>3293</v>
      </c>
      <c r="AQ446" s="2336" t="s">
        <v>4840</v>
      </c>
      <c r="AR446" s="2342"/>
      <c r="AS446" s="2342"/>
      <c r="AT446" s="2342"/>
      <c r="AU446" s="2342"/>
      <c r="AV446" s="2364"/>
      <c r="AW446" s="2363"/>
      <c r="AX446" s="2337">
        <f>$O$368</f>
        <v>0</v>
      </c>
      <c r="AY446" s="2338">
        <f>$O$368</f>
        <v>0</v>
      </c>
      <c r="AZ446" s="2368"/>
      <c r="BA446" s="2365"/>
      <c r="BB446" s="2341">
        <f>$P$368</f>
        <v>0</v>
      </c>
      <c r="BC446" s="2340">
        <f>$P$368</f>
        <v>0</v>
      </c>
    </row>
    <row r="447" spans="1:55">
      <c r="A447" s="2033" t="s">
        <v>2934</v>
      </c>
      <c r="B447" s="2027"/>
      <c r="C447" s="2027"/>
      <c r="D447" s="2033"/>
      <c r="E447" s="2033">
        <v>2</v>
      </c>
      <c r="F447" s="2027"/>
      <c r="G447" s="2034" t="s">
        <v>814</v>
      </c>
      <c r="H447" s="2016">
        <v>2019</v>
      </c>
      <c r="I447" s="2016" t="s">
        <v>3936</v>
      </c>
      <c r="J447" s="2027"/>
      <c r="K447" s="2027"/>
      <c r="L447" s="2033"/>
      <c r="M447" s="2027"/>
      <c r="N447" s="2016"/>
      <c r="O447" s="2029"/>
      <c r="P447" s="2029"/>
      <c r="Q447" s="2027"/>
      <c r="R447" s="2027"/>
      <c r="S447" s="2027"/>
      <c r="AA447" s="2464"/>
      <c r="AB447" s="1997"/>
      <c r="AC447" s="2027"/>
      <c r="AD447" s="2027"/>
      <c r="AE447" s="2027"/>
      <c r="AF447" s="2027"/>
      <c r="AG447" s="2465"/>
      <c r="AH447" s="2465"/>
      <c r="AI447" s="2465"/>
      <c r="AJ447" s="2465"/>
      <c r="AK447" s="2027"/>
      <c r="AL447" s="2027"/>
      <c r="AM447" s="2016"/>
      <c r="AN447" s="2027"/>
      <c r="AP447" s="2145"/>
      <c r="AQ447" s="2369"/>
      <c r="AR447" s="2370"/>
      <c r="AS447" s="2370"/>
      <c r="AT447" s="2370"/>
      <c r="AU447" s="2370"/>
      <c r="AV447" s="2371"/>
      <c r="AW447" s="2372"/>
      <c r="AX447" s="2373"/>
      <c r="AY447" s="2374"/>
      <c r="AZ447" s="2375"/>
      <c r="BA447" s="2376"/>
      <c r="BB447" s="2377"/>
      <c r="BC447" s="2376"/>
    </row>
    <row r="448" spans="1:55">
      <c r="A448" s="2033" t="s">
        <v>2935</v>
      </c>
      <c r="B448" s="2027"/>
      <c r="C448" s="2027"/>
      <c r="D448" s="2033"/>
      <c r="E448" s="2033">
        <v>10</v>
      </c>
      <c r="F448" s="2027"/>
      <c r="G448" s="2034" t="s">
        <v>1784</v>
      </c>
      <c r="H448" s="2016">
        <v>2019</v>
      </c>
      <c r="I448" s="2016" t="s">
        <v>3936</v>
      </c>
      <c r="J448" s="2035" t="s">
        <v>3178</v>
      </c>
      <c r="K448" s="2027"/>
      <c r="L448" s="2033"/>
      <c r="M448" s="2027"/>
      <c r="N448" s="2016"/>
      <c r="O448" s="2029"/>
      <c r="P448" s="2029"/>
      <c r="Q448" s="2027"/>
      <c r="R448" s="2027"/>
      <c r="S448" s="2027"/>
      <c r="AA448" s="1997"/>
      <c r="AB448" s="2469"/>
      <c r="AC448" s="1997"/>
      <c r="AD448" s="1997"/>
      <c r="AE448" s="1997"/>
      <c r="AF448" s="1997"/>
      <c r="AG448" s="1997"/>
      <c r="AH448" s="1997"/>
      <c r="AI448" s="1997"/>
      <c r="AJ448" s="1997"/>
      <c r="AK448" s="2027"/>
      <c r="AL448" s="2027"/>
      <c r="AM448" s="2016"/>
      <c r="AN448" s="2027"/>
      <c r="AP448" s="2107"/>
      <c r="AQ448" s="2107"/>
      <c r="AR448" s="2107"/>
      <c r="AS448" s="2107"/>
      <c r="AT448" s="2107"/>
      <c r="AU448" s="2107"/>
      <c r="AV448" s="2378"/>
      <c r="AW448" s="2378"/>
      <c r="AX448" s="2378"/>
      <c r="AY448" s="2378"/>
      <c r="AZ448" s="2379"/>
      <c r="BA448" s="2379"/>
      <c r="BB448" s="2379"/>
      <c r="BC448" s="2379"/>
    </row>
    <row r="449" spans="1:55">
      <c r="A449" s="2033" t="s">
        <v>2507</v>
      </c>
      <c r="B449" s="2027"/>
      <c r="C449" s="2027"/>
      <c r="D449" s="2033"/>
      <c r="E449" s="2033"/>
      <c r="F449" s="2027"/>
      <c r="G449" s="2034" t="s">
        <v>394</v>
      </c>
      <c r="H449" s="2016">
        <v>2019</v>
      </c>
      <c r="I449" s="2016" t="s">
        <v>3936</v>
      </c>
      <c r="J449" s="2027" t="s">
        <v>3250</v>
      </c>
      <c r="K449" s="2027"/>
      <c r="L449" s="2033"/>
      <c r="M449" s="2027"/>
      <c r="N449" s="2016"/>
      <c r="O449" s="2029"/>
      <c r="P449" s="2029"/>
      <c r="Q449" s="2027"/>
      <c r="R449" s="2027"/>
      <c r="S449" s="2027"/>
      <c r="AA449" s="1997"/>
      <c r="AB449" s="2469"/>
      <c r="AC449" s="1997"/>
      <c r="AD449" s="1996" t="s">
        <v>4142</v>
      </c>
      <c r="AE449" s="1997"/>
      <c r="AF449" s="1997"/>
      <c r="AG449" s="2470"/>
      <c r="AH449" s="2471">
        <f>IF(AND($O$12="4%",($C$12-$A$12)&gt;0),(SUM(AH423:AH447)-($C$12-$A$12)),SUM(AH423:AH447))</f>
        <v>109</v>
      </c>
      <c r="AI449" s="2471">
        <f>IF(AND($O$12="4%",($C$12-$A$12)&gt;0),(SUM(AI423:AI447)-($C$12-$A$12)),SUM(AI423:AI447))</f>
        <v>50</v>
      </c>
      <c r="AJ449" s="2471">
        <f>SUM(AJ424:AJ447)</f>
        <v>46</v>
      </c>
      <c r="AK449" s="2011"/>
      <c r="AL449" s="2016"/>
      <c r="AM449" s="2026"/>
      <c r="AN449" s="2466"/>
      <c r="AP449" s="2107"/>
      <c r="AQ449" s="2107"/>
      <c r="AR449" s="2107"/>
      <c r="AS449" s="2107"/>
      <c r="AT449" s="2107"/>
      <c r="AU449" s="2107"/>
      <c r="AV449" s="2380">
        <f>SUM(AV423:AV447)</f>
        <v>81</v>
      </c>
      <c r="AW449" s="2380">
        <f>IF(AND($O$12="4%",($C$12-$A$12)&gt;0),(SUM(AW423:AW447)-($C$12-$A$12)),SUM(AW423:AW447))</f>
        <v>75</v>
      </c>
      <c r="AX449" s="2380">
        <f>IF(AND($O$12="4%",($C$12-$A$12)&gt;0),(SUM(AX423:AX447)-($C$12-$A$12)),SUM(AX423:AX447))</f>
        <v>43</v>
      </c>
      <c r="AY449" s="2380">
        <f>SUM(AY423:AY447)</f>
        <v>41</v>
      </c>
      <c r="AZ449" s="2381">
        <f>SUM(AZ423:AZ447)</f>
        <v>12</v>
      </c>
      <c r="BA449" s="2381">
        <f>IF(AND($O$12="4%",($D$12-$A$12)&gt;0),(SUM(BA423:BA447)-($D$12-$A$12)),SUM(BA423:BA447))</f>
        <v>12</v>
      </c>
      <c r="BB449" s="2381">
        <f>IF(AND($O$12="4%",($D$12-$A$12)&gt;0),(SUM(BB423:BB447)-($D$12-$A$12)),SUM(BB423:BB447))</f>
        <v>12</v>
      </c>
      <c r="BC449" s="2381">
        <f>SUM(BC423:BC447)</f>
        <v>12</v>
      </c>
    </row>
    <row r="450" spans="1:55">
      <c r="B450" s="2027"/>
      <c r="C450" s="2033"/>
      <c r="D450" s="2027"/>
      <c r="E450" s="2027"/>
      <c r="F450" s="2027"/>
      <c r="G450" s="2034" t="s">
        <v>920</v>
      </c>
      <c r="H450" s="2016">
        <v>2020</v>
      </c>
      <c r="I450" s="2016" t="s">
        <v>3936</v>
      </c>
      <c r="J450" s="2027" t="s">
        <v>3245</v>
      </c>
      <c r="K450" s="2027"/>
      <c r="L450" s="2033"/>
      <c r="M450" s="2027"/>
      <c r="N450" s="2016"/>
      <c r="O450" s="2029"/>
      <c r="P450" s="2029"/>
      <c r="Q450" s="2027"/>
      <c r="R450" s="2027"/>
      <c r="S450" s="2027"/>
      <c r="AA450" s="2027"/>
      <c r="AB450" s="2027"/>
      <c r="AC450" s="2027"/>
      <c r="AD450" s="2027"/>
      <c r="AE450" s="2027"/>
      <c r="AF450" s="2027"/>
      <c r="AG450" s="2027"/>
      <c r="AH450" s="2027"/>
      <c r="AI450" s="2027"/>
      <c r="AJ450" s="2027"/>
      <c r="AK450" s="2011"/>
      <c r="AL450" s="2016"/>
      <c r="AM450" s="2026"/>
      <c r="AN450" s="2466"/>
    </row>
    <row r="451" spans="1:55">
      <c r="B451" s="2027"/>
      <c r="C451" s="2033"/>
      <c r="D451" s="2027"/>
      <c r="E451" s="2027"/>
      <c r="F451" s="2027"/>
      <c r="G451" s="2034" t="s">
        <v>531</v>
      </c>
      <c r="H451" s="2016">
        <v>2020</v>
      </c>
      <c r="I451" s="2016" t="s">
        <v>3936</v>
      </c>
      <c r="J451" s="2027" t="s">
        <v>3171</v>
      </c>
      <c r="K451" s="2027"/>
      <c r="L451" s="2033"/>
      <c r="M451" s="2027"/>
      <c r="N451" s="2016"/>
      <c r="O451" s="2029"/>
      <c r="P451" s="2029"/>
      <c r="Q451" s="2027"/>
      <c r="R451" s="2027"/>
      <c r="S451" s="2027"/>
      <c r="AA451" s="2027"/>
      <c r="AB451" s="2027"/>
      <c r="AC451" s="2027"/>
      <c r="AD451" s="2027"/>
      <c r="AE451" s="2027"/>
      <c r="AF451" s="2027"/>
      <c r="AG451" s="2027"/>
      <c r="AH451" s="2027"/>
      <c r="AI451" s="2027"/>
      <c r="AJ451" s="2027"/>
      <c r="AK451" s="2027"/>
      <c r="AL451" s="2027"/>
      <c r="AM451" s="2016"/>
      <c r="AN451" s="2027"/>
    </row>
    <row r="452" spans="1:55">
      <c r="B452" s="2027"/>
      <c r="C452" s="2033"/>
      <c r="D452" s="2027"/>
      <c r="E452" s="2027"/>
      <c r="F452" s="2027"/>
      <c r="G452" s="2034" t="s">
        <v>808</v>
      </c>
      <c r="H452" s="2016" t="s">
        <v>3937</v>
      </c>
      <c r="I452" s="2032" t="s">
        <v>2446</v>
      </c>
      <c r="J452" s="2027" t="s">
        <v>3241</v>
      </c>
      <c r="K452" s="2027"/>
      <c r="L452" s="2033"/>
      <c r="M452" s="2027"/>
      <c r="N452" s="2016"/>
      <c r="O452" s="2029"/>
      <c r="P452" s="2029"/>
      <c r="Q452" s="2027"/>
      <c r="R452" s="2027"/>
      <c r="S452" s="2027"/>
    </row>
    <row r="453" spans="1:55">
      <c r="B453" s="2027"/>
      <c r="C453" s="2033"/>
      <c r="D453" s="2027"/>
      <c r="E453" s="2027"/>
      <c r="F453" s="2027"/>
      <c r="G453" s="2034" t="s">
        <v>2936</v>
      </c>
      <c r="H453" s="2016">
        <v>2019</v>
      </c>
      <c r="I453" s="2016" t="s">
        <v>3936</v>
      </c>
      <c r="J453" s="2027" t="s">
        <v>3172</v>
      </c>
      <c r="K453" s="2027"/>
      <c r="L453" s="2033"/>
      <c r="M453" s="2027"/>
      <c r="N453" s="2016"/>
      <c r="O453" s="2029"/>
      <c r="P453" s="2029"/>
      <c r="Q453" s="2027"/>
      <c r="R453" s="2027"/>
      <c r="S453" s="2027"/>
    </row>
    <row r="454" spans="1:55">
      <c r="B454" s="2027"/>
      <c r="C454" s="2027"/>
      <c r="D454" s="2027"/>
      <c r="E454" s="2027"/>
      <c r="F454" s="2027"/>
      <c r="G454" s="2034" t="s">
        <v>763</v>
      </c>
      <c r="H454" s="2016">
        <v>2019</v>
      </c>
      <c r="I454" s="2016" t="s">
        <v>3936</v>
      </c>
      <c r="J454" s="2027" t="s">
        <v>3242</v>
      </c>
      <c r="K454" s="2027"/>
      <c r="L454" s="2033"/>
      <c r="M454" s="2027"/>
      <c r="N454" s="2016"/>
      <c r="O454" s="2029"/>
      <c r="P454" s="2029"/>
      <c r="Q454" s="2027"/>
      <c r="R454" s="2027"/>
      <c r="S454" s="2027"/>
    </row>
    <row r="455" spans="1:55">
      <c r="B455" s="2027"/>
      <c r="C455" s="2027"/>
      <c r="D455" s="2027"/>
      <c r="E455" s="2027"/>
      <c r="F455" s="2027"/>
      <c r="G455" s="2034" t="s">
        <v>172</v>
      </c>
      <c r="H455" s="2016">
        <v>2019</v>
      </c>
      <c r="I455" s="2016" t="s">
        <v>3936</v>
      </c>
      <c r="J455" s="2027" t="s">
        <v>3173</v>
      </c>
      <c r="K455" s="2027"/>
      <c r="L455" s="2027"/>
      <c r="M455" s="2027"/>
      <c r="N455" s="2016"/>
      <c r="O455" s="2029"/>
      <c r="P455" s="2029"/>
      <c r="Q455" s="2027"/>
      <c r="R455" s="2027"/>
      <c r="S455" s="2027"/>
      <c r="AB455" s="2296" t="s">
        <v>4912</v>
      </c>
      <c r="AC455" s="2297"/>
      <c r="AD455" s="2297"/>
      <c r="AE455" s="2298"/>
      <c r="AF455" s="2298"/>
      <c r="AG455" s="2298"/>
      <c r="AH455" s="2298"/>
      <c r="AI455" s="2299" t="s">
        <v>2880</v>
      </c>
      <c r="AJ455" s="2300" t="s">
        <v>245</v>
      </c>
      <c r="AK455" s="2301"/>
    </row>
    <row r="456" spans="1:55">
      <c r="B456" s="2027"/>
      <c r="C456" s="2027"/>
      <c r="D456" s="2027"/>
      <c r="E456" s="2027"/>
      <c r="F456" s="2027"/>
      <c r="G456" s="2034" t="s">
        <v>3259</v>
      </c>
      <c r="H456" s="2016" t="s">
        <v>3937</v>
      </c>
      <c r="I456" s="2032" t="s">
        <v>2446</v>
      </c>
      <c r="J456" s="2027" t="s">
        <v>3243</v>
      </c>
      <c r="K456" s="2027"/>
      <c r="L456" s="2033"/>
      <c r="M456" s="2027"/>
      <c r="N456" s="2016"/>
      <c r="O456" s="2029"/>
      <c r="P456" s="2029"/>
      <c r="Q456" s="2027"/>
      <c r="R456" s="2027"/>
      <c r="S456" s="2027"/>
      <c r="AB456" s="2302"/>
      <c r="AC456" s="2107" t="s">
        <v>3308</v>
      </c>
      <c r="AD456" s="2131"/>
      <c r="AE456" s="2107"/>
      <c r="AF456" s="2107"/>
      <c r="AG456" s="2107"/>
      <c r="AH456" s="2107"/>
      <c r="AI456" s="2303">
        <f>$O$206</f>
        <v>0</v>
      </c>
      <c r="AJ456" s="2304">
        <f>$P$206</f>
        <v>0</v>
      </c>
      <c r="AK456" s="2305"/>
    </row>
    <row r="457" spans="1:55">
      <c r="B457" s="2027"/>
      <c r="C457" s="2027"/>
      <c r="D457" s="2027"/>
      <c r="E457" s="2027"/>
      <c r="F457" s="2027"/>
      <c r="G457" s="2034" t="s">
        <v>506</v>
      </c>
      <c r="H457" s="2016">
        <v>2020</v>
      </c>
      <c r="I457" s="2016" t="s">
        <v>3936</v>
      </c>
      <c r="J457" s="2027" t="s">
        <v>3246</v>
      </c>
      <c r="K457" s="2027"/>
      <c r="L457" s="2033"/>
      <c r="M457" s="2027"/>
      <c r="N457" s="2027"/>
      <c r="O457" s="2027"/>
      <c r="P457" s="2027"/>
      <c r="Q457" s="2027"/>
      <c r="R457" s="2027"/>
      <c r="S457" s="2027"/>
      <c r="AB457" s="2302"/>
      <c r="AC457" s="2107" t="s">
        <v>3911</v>
      </c>
      <c r="AD457" s="2131"/>
      <c r="AE457" s="2107"/>
      <c r="AF457" s="2107"/>
      <c r="AG457" s="2107"/>
      <c r="AH457" s="2107"/>
      <c r="AI457" s="2306">
        <f>$O$238</f>
        <v>9</v>
      </c>
      <c r="AJ457" s="2307">
        <f>$P$238</f>
        <v>0</v>
      </c>
      <c r="AK457" s="2305"/>
    </row>
    <row r="458" spans="1:55">
      <c r="B458" s="2027"/>
      <c r="C458" s="2027"/>
      <c r="D458" s="2027"/>
      <c r="E458" s="2027"/>
      <c r="F458" s="2027"/>
      <c r="G458" s="2034" t="s">
        <v>375</v>
      </c>
      <c r="H458" s="2016">
        <v>2020</v>
      </c>
      <c r="I458" s="2016" t="s">
        <v>3936</v>
      </c>
      <c r="J458" s="2027" t="s">
        <v>3249</v>
      </c>
      <c r="K458" s="2027"/>
      <c r="L458" s="2027"/>
      <c r="M458" s="2027"/>
      <c r="N458" s="2027"/>
      <c r="O458" s="2027"/>
      <c r="P458" s="2027"/>
      <c r="Q458" s="2027"/>
      <c r="R458" s="2027"/>
      <c r="S458" s="2027"/>
      <c r="AB458" s="2302"/>
      <c r="AC458" s="2107" t="s">
        <v>3179</v>
      </c>
      <c r="AD458" s="2131"/>
      <c r="AE458" s="2107"/>
      <c r="AF458" s="2107"/>
      <c r="AG458" s="2107"/>
      <c r="AH458" s="2107"/>
      <c r="AI458" s="2306">
        <f>$O$265</f>
        <v>0</v>
      </c>
      <c r="AJ458" s="2307">
        <f>$P$265</f>
        <v>0</v>
      </c>
      <c r="AK458" s="2305"/>
    </row>
    <row r="459" spans="1:55">
      <c r="B459" s="2027"/>
      <c r="C459" s="2027"/>
      <c r="D459" s="2036"/>
      <c r="E459" s="2027"/>
      <c r="F459" s="2027"/>
      <c r="G459" s="2034" t="s">
        <v>1347</v>
      </c>
      <c r="H459" s="2016" t="s">
        <v>3937</v>
      </c>
      <c r="I459" s="2032" t="s">
        <v>2446</v>
      </c>
      <c r="J459" s="2027" t="s">
        <v>3174</v>
      </c>
      <c r="K459" s="2027"/>
      <c r="L459" s="2033"/>
      <c r="M459" s="2027"/>
      <c r="N459" s="2027"/>
      <c r="O459" s="2027"/>
      <c r="P459" s="2027"/>
      <c r="Q459" s="2027"/>
      <c r="R459" s="2027"/>
      <c r="S459" s="2027"/>
      <c r="AB459" s="2302"/>
      <c r="AC459" s="2107" t="s">
        <v>4838</v>
      </c>
      <c r="AD459" s="2131"/>
      <c r="AE459" s="2107"/>
      <c r="AF459" s="2107"/>
      <c r="AG459" s="2107"/>
      <c r="AH459" s="2107"/>
      <c r="AI459" s="2306">
        <f>$O$303</f>
        <v>0</v>
      </c>
      <c r="AJ459" s="2307">
        <f>$P$303</f>
        <v>0</v>
      </c>
      <c r="AK459" s="2305"/>
    </row>
    <row r="460" spans="1:55">
      <c r="B460" s="2027"/>
      <c r="C460" s="2027"/>
      <c r="D460" s="2036"/>
      <c r="E460" s="2027"/>
      <c r="F460" s="2027"/>
      <c r="G460" s="2034" t="s">
        <v>1702</v>
      </c>
      <c r="H460" s="2016" t="s">
        <v>3937</v>
      </c>
      <c r="I460" s="2032" t="s">
        <v>2446</v>
      </c>
      <c r="J460" s="2027" t="s">
        <v>3175</v>
      </c>
      <c r="K460" s="2027"/>
      <c r="L460" s="2033"/>
      <c r="M460" s="2027"/>
      <c r="N460" s="2027"/>
      <c r="O460" s="2027"/>
      <c r="P460" s="2027"/>
      <c r="Q460" s="2027"/>
      <c r="R460" s="2027"/>
      <c r="S460" s="2027"/>
      <c r="AB460" s="2308"/>
      <c r="AC460" s="2309"/>
      <c r="AD460" s="2309"/>
      <c r="AE460" s="2310"/>
      <c r="AF460" s="2310"/>
      <c r="AG460" s="2310"/>
      <c r="AH460" s="2310"/>
      <c r="AI460" s="2310"/>
      <c r="AJ460" s="2310"/>
      <c r="AK460" s="2311"/>
    </row>
    <row r="461" spans="1:55" ht="14.25">
      <c r="B461" s="2027"/>
      <c r="C461" s="2027"/>
      <c r="D461" s="2027"/>
      <c r="E461" s="2027"/>
      <c r="F461" s="2027"/>
      <c r="G461" s="2034" t="s">
        <v>1964</v>
      </c>
      <c r="H461" s="2016">
        <v>2020</v>
      </c>
      <c r="I461" s="2016" t="s">
        <v>3936</v>
      </c>
      <c r="J461" s="2027" t="s">
        <v>3244</v>
      </c>
      <c r="K461" s="2027"/>
      <c r="L461" s="2033"/>
      <c r="M461" s="2027"/>
      <c r="N461" s="2027"/>
      <c r="O461" s="2027"/>
      <c r="P461" s="2027"/>
      <c r="Q461" s="2027"/>
      <c r="R461" s="2027"/>
      <c r="S461" s="2027"/>
    </row>
    <row r="462" spans="1:55" ht="14.25">
      <c r="B462" s="2027"/>
      <c r="C462" s="2027"/>
      <c r="D462" s="2027"/>
      <c r="E462" s="2027"/>
      <c r="F462" s="2027"/>
      <c r="G462" s="2034" t="s">
        <v>1350</v>
      </c>
      <c r="H462" s="2016">
        <v>2019</v>
      </c>
      <c r="I462" s="2016" t="s">
        <v>3936</v>
      </c>
      <c r="J462" s="2027" t="s">
        <v>3247</v>
      </c>
      <c r="K462" s="2027"/>
      <c r="L462" s="2027"/>
      <c r="M462" s="2027"/>
      <c r="N462" s="2027"/>
      <c r="O462" s="2027"/>
      <c r="P462" s="2027"/>
      <c r="Q462" s="2027"/>
      <c r="R462" s="2027"/>
      <c r="S462" s="2027"/>
    </row>
    <row r="463" spans="1:55" ht="14.25">
      <c r="B463" s="2027"/>
      <c r="C463" s="2027"/>
      <c r="D463" s="2027"/>
      <c r="E463" s="2027"/>
      <c r="F463" s="2027"/>
      <c r="G463" s="2034" t="s">
        <v>235</v>
      </c>
      <c r="H463" s="2016">
        <v>2019</v>
      </c>
      <c r="I463" s="2016" t="s">
        <v>3936</v>
      </c>
      <c r="J463" s="2027" t="s">
        <v>3248</v>
      </c>
      <c r="K463" s="2027"/>
      <c r="L463" s="2033"/>
      <c r="M463" s="2027"/>
      <c r="N463" s="2027"/>
      <c r="O463" s="2027"/>
      <c r="P463" s="2027"/>
      <c r="Q463" s="2027"/>
      <c r="R463" s="2027"/>
      <c r="S463" s="2027"/>
    </row>
    <row r="464" spans="1:55" ht="14.25">
      <c r="B464" s="2027"/>
      <c r="C464" s="2027"/>
      <c r="D464" s="2027"/>
      <c r="E464" s="2027"/>
      <c r="F464" s="2027"/>
      <c r="G464" s="2034" t="s">
        <v>977</v>
      </c>
      <c r="H464" s="2016">
        <v>2020</v>
      </c>
      <c r="I464" s="2016" t="s">
        <v>3936</v>
      </c>
      <c r="J464" s="2027" t="s">
        <v>3176</v>
      </c>
      <c r="K464" s="2027"/>
      <c r="L464" s="2033"/>
      <c r="M464" s="2027"/>
      <c r="N464" s="2027"/>
      <c r="O464" s="2027"/>
      <c r="P464" s="2027"/>
      <c r="Q464" s="2027"/>
      <c r="R464" s="2027"/>
      <c r="S464" s="2027"/>
    </row>
    <row r="465" spans="2:19" ht="14.25">
      <c r="B465" s="2027"/>
      <c r="C465" s="2036"/>
      <c r="D465" s="2027"/>
      <c r="E465" s="2027"/>
      <c r="F465" s="2027"/>
      <c r="G465" s="2034" t="s">
        <v>2091</v>
      </c>
      <c r="H465" s="2016">
        <v>2020</v>
      </c>
      <c r="I465" s="2016" t="s">
        <v>3936</v>
      </c>
      <c r="J465" s="2027" t="s">
        <v>3177</v>
      </c>
      <c r="K465" s="2027"/>
      <c r="L465" s="2033"/>
      <c r="M465" s="2027"/>
      <c r="N465" s="2027"/>
      <c r="O465" s="2027"/>
      <c r="P465" s="2027"/>
      <c r="Q465" s="2027"/>
      <c r="R465" s="2027"/>
      <c r="S465" s="2027"/>
    </row>
    <row r="466" spans="2:19" ht="14.25">
      <c r="B466" s="2027"/>
      <c r="C466" s="2036"/>
      <c r="D466" s="2027"/>
      <c r="E466" s="2027"/>
      <c r="F466" s="2027"/>
      <c r="G466" s="2034" t="s">
        <v>3931</v>
      </c>
      <c r="H466" s="2016" t="s">
        <v>3937</v>
      </c>
      <c r="I466" s="2032" t="s">
        <v>2446</v>
      </c>
      <c r="J466" s="2027"/>
      <c r="K466" s="2027"/>
      <c r="L466" s="2033"/>
      <c r="M466" s="2027"/>
      <c r="N466" s="2027"/>
      <c r="O466" s="2027"/>
      <c r="P466" s="2027"/>
      <c r="Q466" s="2027"/>
      <c r="R466" s="2027"/>
      <c r="S466" s="2027"/>
    </row>
    <row r="467" spans="2:19" ht="14.25">
      <c r="B467" s="2027"/>
      <c r="C467" s="2036"/>
      <c r="D467" s="2027"/>
      <c r="E467" s="2027"/>
      <c r="F467" s="2027"/>
      <c r="G467" s="2034" t="s">
        <v>1744</v>
      </c>
      <c r="H467" s="2016" t="s">
        <v>3937</v>
      </c>
      <c r="I467" s="2032" t="s">
        <v>2446</v>
      </c>
      <c r="J467" s="2027"/>
      <c r="K467" s="2027"/>
      <c r="L467" s="2033"/>
      <c r="M467" s="2027"/>
      <c r="N467" s="2027"/>
      <c r="O467" s="2027"/>
      <c r="P467" s="2027"/>
      <c r="Q467" s="2027"/>
      <c r="R467" s="2027"/>
      <c r="S467" s="2027"/>
    </row>
    <row r="468" spans="2:19" ht="14.25">
      <c r="B468" s="2027"/>
      <c r="C468" s="2036"/>
      <c r="D468" s="2027"/>
      <c r="E468" s="2027"/>
      <c r="F468" s="2027"/>
      <c r="G468" s="2034" t="s">
        <v>471</v>
      </c>
      <c r="H468" s="2016" t="s">
        <v>3937</v>
      </c>
      <c r="I468" s="2032" t="s">
        <v>2446</v>
      </c>
      <c r="J468" s="2027"/>
      <c r="K468" s="2027"/>
      <c r="L468" s="2033"/>
      <c r="M468" s="2027"/>
      <c r="N468" s="2027"/>
      <c r="O468" s="2027"/>
      <c r="P468" s="2027"/>
      <c r="Q468" s="2027"/>
      <c r="R468" s="2027"/>
      <c r="S468" s="2027"/>
    </row>
    <row r="469" spans="2:19" ht="14.25">
      <c r="B469" s="2027"/>
      <c r="C469" s="2036"/>
      <c r="D469" s="2027"/>
      <c r="E469" s="2027"/>
      <c r="F469" s="2027"/>
      <c r="G469" s="2034" t="s">
        <v>1946</v>
      </c>
      <c r="H469" s="2016" t="s">
        <v>3937</v>
      </c>
      <c r="I469" s="2032" t="s">
        <v>2446</v>
      </c>
      <c r="J469" s="2027"/>
      <c r="K469" s="2027"/>
      <c r="L469" s="2033"/>
      <c r="M469" s="2027"/>
      <c r="N469" s="2027"/>
      <c r="O469" s="2027"/>
      <c r="P469" s="2027"/>
      <c r="Q469" s="2027"/>
      <c r="R469" s="2027"/>
      <c r="S469" s="2027"/>
    </row>
    <row r="470" spans="2:19" ht="14.25">
      <c r="B470" s="2027"/>
      <c r="C470" s="2036"/>
      <c r="D470" s="2027"/>
      <c r="E470" s="2027"/>
      <c r="F470" s="2027"/>
      <c r="G470" s="2034" t="s">
        <v>2083</v>
      </c>
      <c r="H470" s="2016">
        <v>2020</v>
      </c>
      <c r="I470" s="2016" t="s">
        <v>3936</v>
      </c>
      <c r="J470" s="2027"/>
      <c r="K470" s="2027"/>
      <c r="L470" s="2033"/>
      <c r="M470" s="2027"/>
      <c r="N470" s="2027"/>
      <c r="O470" s="2027"/>
      <c r="P470" s="2027"/>
      <c r="Q470" s="2027"/>
      <c r="R470" s="2027"/>
      <c r="S470" s="2027"/>
    </row>
    <row r="471" spans="2:19" ht="14.25">
      <c r="B471" s="2027"/>
      <c r="C471" s="2036"/>
      <c r="D471" s="2027"/>
      <c r="E471" s="2027"/>
      <c r="F471" s="2027"/>
      <c r="G471" s="2034" t="s">
        <v>1969</v>
      </c>
      <c r="H471" s="2016">
        <v>2020</v>
      </c>
      <c r="I471" s="2016" t="s">
        <v>3936</v>
      </c>
      <c r="J471" s="2027"/>
      <c r="K471" s="2027"/>
      <c r="L471" s="2027"/>
      <c r="M471" s="2027"/>
      <c r="N471" s="2027"/>
      <c r="O471" s="2027"/>
      <c r="P471" s="2027"/>
      <c r="Q471" s="2027"/>
      <c r="R471" s="2027"/>
      <c r="S471" s="2027"/>
    </row>
    <row r="472" spans="2:19" ht="14.25">
      <c r="B472" s="2027"/>
      <c r="C472" s="2027"/>
      <c r="D472" s="2027"/>
      <c r="E472" s="2027"/>
      <c r="F472" s="2027"/>
      <c r="G472" s="2034" t="s">
        <v>2148</v>
      </c>
      <c r="H472" s="2016">
        <v>2019</v>
      </c>
      <c r="I472" s="2016" t="s">
        <v>3936</v>
      </c>
      <c r="J472" s="2027"/>
      <c r="K472" s="2027"/>
      <c r="L472" s="2027"/>
      <c r="M472" s="2027"/>
      <c r="N472" s="2027"/>
      <c r="O472" s="2027"/>
      <c r="P472" s="2027"/>
      <c r="Q472" s="2027"/>
      <c r="R472" s="2027"/>
      <c r="S472" s="2027"/>
    </row>
    <row r="473" spans="2:19">
      <c r="B473" s="2027"/>
      <c r="C473" s="2027"/>
      <c r="D473" s="2027"/>
      <c r="E473" s="2027"/>
      <c r="F473" s="2027"/>
      <c r="G473" s="2034" t="s">
        <v>3932</v>
      </c>
      <c r="H473" s="2027"/>
      <c r="I473" s="2027"/>
      <c r="J473" s="2027"/>
      <c r="K473" s="2027"/>
      <c r="L473" s="2027"/>
      <c r="M473" s="2027"/>
      <c r="N473" s="2016"/>
      <c r="O473" s="2029"/>
      <c r="P473" s="2029"/>
      <c r="Q473" s="2027"/>
      <c r="R473" s="2027"/>
      <c r="S473" s="2027"/>
    </row>
    <row r="474" spans="2:19">
      <c r="B474" s="2027"/>
      <c r="C474" s="2027"/>
      <c r="D474" s="2027"/>
      <c r="E474" s="2027"/>
      <c r="F474" s="2027"/>
      <c r="G474" s="2034" t="s">
        <v>1572</v>
      </c>
      <c r="H474" s="2016">
        <v>2019</v>
      </c>
      <c r="I474" s="2016" t="s">
        <v>3936</v>
      </c>
      <c r="J474" s="2027"/>
      <c r="K474" s="2027"/>
      <c r="L474" s="2027"/>
      <c r="M474" s="2027"/>
      <c r="N474" s="2016"/>
      <c r="O474" s="2029"/>
      <c r="P474" s="2029"/>
      <c r="Q474" s="2027"/>
      <c r="R474" s="2027"/>
      <c r="S474" s="2027"/>
    </row>
    <row r="475" spans="2:19">
      <c r="B475" s="2027"/>
      <c r="C475" s="2027"/>
      <c r="D475" s="2027"/>
      <c r="E475" s="2027"/>
      <c r="F475" s="2027"/>
      <c r="G475" s="2034" t="s">
        <v>1575</v>
      </c>
      <c r="H475" s="2016">
        <v>2020</v>
      </c>
      <c r="I475" s="2016" t="s">
        <v>3936</v>
      </c>
      <c r="J475" s="2027"/>
      <c r="K475" s="2027"/>
      <c r="L475" s="2027"/>
      <c r="M475" s="2027"/>
      <c r="N475" s="2016"/>
      <c r="O475" s="2029"/>
      <c r="P475" s="2029"/>
      <c r="Q475" s="2027"/>
      <c r="R475" s="2027"/>
      <c r="S475" s="2027"/>
    </row>
    <row r="476" spans="2:19">
      <c r="B476" s="2027"/>
      <c r="C476" s="2027"/>
      <c r="D476" s="2027"/>
      <c r="E476" s="2027"/>
      <c r="F476" s="2027"/>
      <c r="G476" s="2034" t="s">
        <v>1580</v>
      </c>
      <c r="H476" s="2016">
        <v>2020</v>
      </c>
      <c r="I476" s="2016" t="s">
        <v>3936</v>
      </c>
      <c r="J476" s="2027"/>
      <c r="K476" s="2027"/>
      <c r="L476" s="2027"/>
      <c r="M476" s="2027"/>
      <c r="N476" s="2016"/>
      <c r="O476" s="2029"/>
      <c r="P476" s="2029"/>
      <c r="Q476" s="2027"/>
      <c r="R476" s="2027"/>
      <c r="S476" s="2027"/>
    </row>
    <row r="477" spans="2:19">
      <c r="B477" s="2027"/>
      <c r="C477" s="2027"/>
      <c r="D477" s="2027"/>
      <c r="E477" s="2027"/>
      <c r="F477" s="2027"/>
      <c r="G477" s="2034" t="s">
        <v>1588</v>
      </c>
      <c r="H477" s="2016">
        <v>2020</v>
      </c>
      <c r="I477" s="2016" t="s">
        <v>3936</v>
      </c>
      <c r="J477" s="2027"/>
      <c r="K477" s="2027"/>
      <c r="L477" s="2027"/>
      <c r="M477" s="2027"/>
      <c r="N477" s="2016"/>
      <c r="O477" s="2029"/>
      <c r="P477" s="2029"/>
      <c r="Q477" s="2027"/>
      <c r="R477" s="2027"/>
      <c r="S477" s="2027"/>
    </row>
    <row r="478" spans="2:19">
      <c r="B478" s="2027"/>
      <c r="C478" s="2027"/>
      <c r="D478" s="2027"/>
      <c r="E478" s="2027"/>
      <c r="F478" s="2027"/>
      <c r="G478" s="2034" t="s">
        <v>1589</v>
      </c>
      <c r="H478" s="2016">
        <v>2019</v>
      </c>
      <c r="I478" s="2016" t="s">
        <v>3936</v>
      </c>
      <c r="J478" s="2027"/>
      <c r="K478" s="2027"/>
      <c r="L478" s="2027"/>
      <c r="M478" s="2027"/>
      <c r="N478" s="2016"/>
      <c r="O478" s="2029"/>
      <c r="P478" s="2029"/>
      <c r="Q478" s="2027"/>
      <c r="R478" s="2027"/>
      <c r="S478" s="2027"/>
    </row>
    <row r="479" spans="2:19">
      <c r="B479" s="2027"/>
      <c r="C479" s="2027"/>
      <c r="D479" s="2027"/>
      <c r="E479" s="2027"/>
      <c r="F479" s="2027"/>
      <c r="G479" s="2034" t="s">
        <v>100</v>
      </c>
      <c r="H479" s="2016">
        <v>2020</v>
      </c>
      <c r="I479" s="2016" t="s">
        <v>3936</v>
      </c>
      <c r="J479" s="2027"/>
      <c r="K479" s="2027"/>
      <c r="L479" s="2027"/>
      <c r="M479" s="2027"/>
      <c r="N479" s="2016"/>
      <c r="O479" s="2029"/>
      <c r="P479" s="2029"/>
      <c r="Q479" s="2027"/>
      <c r="R479" s="2027"/>
      <c r="S479" s="2027"/>
    </row>
    <row r="480" spans="2:19">
      <c r="B480" s="2027"/>
      <c r="C480" s="2027"/>
      <c r="D480" s="2027"/>
      <c r="E480" s="2027"/>
      <c r="F480" s="2027"/>
      <c r="G480" s="2034" t="s">
        <v>285</v>
      </c>
      <c r="H480" s="2016">
        <v>2020</v>
      </c>
      <c r="I480" s="2016" t="s">
        <v>3936</v>
      </c>
      <c r="J480" s="2027"/>
      <c r="K480" s="2027"/>
      <c r="L480" s="2027"/>
      <c r="M480" s="2027"/>
      <c r="N480" s="2016"/>
      <c r="O480" s="2029"/>
      <c r="P480" s="2029"/>
      <c r="Q480" s="2027"/>
      <c r="R480" s="2027"/>
      <c r="S480" s="2027"/>
    </row>
    <row r="481" spans="2:19">
      <c r="B481" s="2027"/>
      <c r="C481" s="2027"/>
      <c r="D481" s="2027"/>
      <c r="E481" s="2027"/>
      <c r="F481" s="2027"/>
      <c r="G481" s="2034" t="s">
        <v>1440</v>
      </c>
      <c r="H481" s="2016" t="s">
        <v>3937</v>
      </c>
      <c r="I481" s="2032" t="s">
        <v>2446</v>
      </c>
      <c r="J481" s="2027"/>
      <c r="K481" s="2027"/>
      <c r="L481" s="2027"/>
      <c r="M481" s="2027"/>
      <c r="N481" s="2016"/>
      <c r="O481" s="2029"/>
      <c r="P481" s="2029"/>
      <c r="Q481" s="2027"/>
      <c r="R481" s="2027"/>
      <c r="S481" s="2027"/>
    </row>
    <row r="482" spans="2:19" ht="30" customHeight="1">
      <c r="B482" s="2027"/>
      <c r="C482" s="2027"/>
      <c r="D482" s="2027"/>
      <c r="E482" s="2027"/>
      <c r="F482" s="2027"/>
      <c r="G482" s="2034"/>
      <c r="H482" s="2027"/>
      <c r="I482" s="2027"/>
      <c r="J482" s="2027"/>
      <c r="K482" s="2027"/>
      <c r="L482" s="2027"/>
      <c r="M482" s="2027"/>
      <c r="N482" s="2027"/>
      <c r="O482" s="2027"/>
      <c r="P482" s="2027"/>
      <c r="Q482" s="2027"/>
      <c r="R482" s="2027"/>
      <c r="S482" s="2027"/>
    </row>
    <row r="483" spans="2:19">
      <c r="B483" s="2027"/>
      <c r="C483" s="2027"/>
      <c r="D483" s="2027"/>
      <c r="E483" s="2027"/>
      <c r="F483" s="2027"/>
      <c r="G483" s="2027"/>
      <c r="H483" s="2027"/>
      <c r="I483" s="2027"/>
      <c r="J483" s="2027"/>
      <c r="K483" s="2027"/>
      <c r="L483" s="2027"/>
      <c r="M483" s="2027"/>
      <c r="N483" s="2016"/>
      <c r="O483" s="2029"/>
      <c r="P483" s="2029"/>
      <c r="Q483" s="2027"/>
      <c r="R483" s="2027"/>
      <c r="S483" s="2027"/>
    </row>
    <row r="484" spans="2:19">
      <c r="B484" s="2027"/>
      <c r="C484" s="2027"/>
      <c r="D484" s="2027"/>
      <c r="E484" s="2027"/>
      <c r="F484" s="2027"/>
      <c r="G484" s="2027"/>
      <c r="H484" s="2027"/>
      <c r="I484" s="2027"/>
      <c r="J484" s="2027"/>
      <c r="K484" s="2027"/>
      <c r="L484" s="2027"/>
      <c r="M484" s="2027"/>
      <c r="N484" s="2016"/>
      <c r="O484" s="2029"/>
      <c r="P484" s="2029"/>
      <c r="Q484" s="2027"/>
      <c r="R484" s="2027"/>
      <c r="S484" s="2027"/>
    </row>
    <row r="485" spans="2:19">
      <c r="B485" s="2027"/>
      <c r="C485" s="2027"/>
      <c r="D485" s="2027"/>
      <c r="E485" s="2027"/>
      <c r="F485" s="2027"/>
      <c r="G485" s="2027"/>
      <c r="H485" s="2027"/>
      <c r="I485" s="2027"/>
      <c r="J485" s="2027"/>
      <c r="K485" s="2027"/>
      <c r="L485" s="2027"/>
      <c r="M485" s="2027"/>
      <c r="N485" s="2016"/>
      <c r="O485" s="2029"/>
      <c r="P485" s="2029"/>
      <c r="Q485" s="2027"/>
      <c r="R485" s="2027"/>
      <c r="S485" s="2027"/>
    </row>
    <row r="615" spans="39:39" s="2106" customFormat="1" ht="14.25">
      <c r="AM615" s="2127"/>
    </row>
    <row r="616" spans="39:39" s="2106" customFormat="1" ht="14.25">
      <c r="AM616" s="2127"/>
    </row>
    <row r="617" spans="39:39" s="2106" customFormat="1" ht="14.25">
      <c r="AM617" s="2127"/>
    </row>
    <row r="618" spans="39:39" s="2106" customFormat="1" ht="14.25">
      <c r="AM618" s="2127"/>
    </row>
    <row r="619" spans="39:39" s="2106" customFormat="1" ht="14.25">
      <c r="AM619" s="2127"/>
    </row>
    <row r="620" spans="39:39" s="2106" customFormat="1" ht="14.25">
      <c r="AM620" s="2127"/>
    </row>
    <row r="621" spans="39:39" s="2106" customFormat="1" ht="14.25">
      <c r="AM621" s="2127"/>
    </row>
    <row r="622" spans="39:39" s="2106" customFormat="1" ht="14.25">
      <c r="AM622" s="2127"/>
    </row>
    <row r="623" spans="39:39" s="2106" customFormat="1" ht="14.25">
      <c r="AM623" s="2127"/>
    </row>
    <row r="624" spans="39:39" s="2106" customFormat="1" ht="14.25">
      <c r="AM624" s="2127"/>
    </row>
    <row r="625" spans="39:39" s="2106" customFormat="1" ht="14.25">
      <c r="AM625" s="2127"/>
    </row>
    <row r="626" spans="39:39" s="2106" customFormat="1" ht="14.25">
      <c r="AM626" s="2127"/>
    </row>
    <row r="627" spans="39:39" s="2106" customFormat="1" ht="14.25">
      <c r="AM627" s="2127"/>
    </row>
    <row r="628" spans="39:39" s="2106" customFormat="1" ht="14.25">
      <c r="AM628" s="2127"/>
    </row>
    <row r="629" spans="39:39" s="2106" customFormat="1" ht="14.25">
      <c r="AM629" s="2127"/>
    </row>
    <row r="630" spans="39:39" s="2106" customFormat="1" ht="14.25">
      <c r="AM630" s="2127"/>
    </row>
    <row r="631" spans="39:39" s="2106" customFormat="1" ht="14.25">
      <c r="AM631" s="2127"/>
    </row>
    <row r="632" spans="39:39" s="2106" customFormat="1" ht="14.25">
      <c r="AM632" s="2127"/>
    </row>
    <row r="633" spans="39:39" s="2106" customFormat="1" ht="14.25">
      <c r="AM633" s="2127"/>
    </row>
    <row r="634" spans="39:39" s="2106" customFormat="1" ht="14.25">
      <c r="AM634" s="2127"/>
    </row>
    <row r="635" spans="39:39" s="2106" customFormat="1" ht="14.25">
      <c r="AM635" s="2127"/>
    </row>
    <row r="636" spans="39:39" s="2106" customFormat="1" ht="14.25">
      <c r="AM636" s="2127"/>
    </row>
    <row r="637" spans="39:39" s="2106" customFormat="1" ht="14.25">
      <c r="AM637" s="2127"/>
    </row>
    <row r="638" spans="39:39" s="2106" customFormat="1" ht="14.25">
      <c r="AM638" s="2127"/>
    </row>
    <row r="639" spans="39:39" s="2106" customFormat="1" ht="14.25">
      <c r="AM639" s="2127"/>
    </row>
    <row r="640" spans="39:39" s="2106" customFormat="1" ht="14.25">
      <c r="AM640" s="2127"/>
    </row>
    <row r="641" spans="39:39" s="2106" customFormat="1" ht="14.25">
      <c r="AM641" s="2127"/>
    </row>
    <row r="642" spans="39:39" s="2106" customFormat="1" ht="14.25">
      <c r="AM642" s="2127"/>
    </row>
    <row r="643" spans="39:39" s="2106" customFormat="1" ht="14.25">
      <c r="AM643" s="2127"/>
    </row>
    <row r="644" spans="39:39" s="2106" customFormat="1" ht="14.25">
      <c r="AM644" s="2127"/>
    </row>
    <row r="645" spans="39:39" s="2106" customFormat="1" ht="14.25">
      <c r="AM645" s="2127"/>
    </row>
    <row r="646" spans="39:39" s="2106" customFormat="1" ht="14.25">
      <c r="AM646" s="2127"/>
    </row>
    <row r="647" spans="39:39" s="2106" customFormat="1" ht="14.25">
      <c r="AM647" s="2127"/>
    </row>
    <row r="648" spans="39:39" s="2106" customFormat="1" ht="14.25">
      <c r="AM648" s="2127"/>
    </row>
    <row r="649" spans="39:39" s="2106" customFormat="1" ht="14.25">
      <c r="AM649" s="2127"/>
    </row>
    <row r="650" spans="39:39" s="2106" customFormat="1" ht="14.25">
      <c r="AM650" s="2127"/>
    </row>
    <row r="651" spans="39:39" s="2106" customFormat="1" ht="14.25">
      <c r="AM651" s="2127"/>
    </row>
    <row r="652" spans="39:39" s="2106" customFormat="1" ht="14.25">
      <c r="AM652" s="2127"/>
    </row>
    <row r="653" spans="39:39" s="2106" customFormat="1" ht="14.25">
      <c r="AM653" s="2127"/>
    </row>
    <row r="654" spans="39:39" s="2106" customFormat="1" ht="14.25">
      <c r="AM654" s="2127"/>
    </row>
    <row r="655" spans="39:39" s="2106" customFormat="1" ht="14.25">
      <c r="AM655" s="2127"/>
    </row>
    <row r="656" spans="39:39" s="2106" customFormat="1" ht="14.25">
      <c r="AM656" s="2127"/>
    </row>
    <row r="657" spans="39:39" s="2106" customFormat="1" ht="14.25">
      <c r="AM657" s="2127"/>
    </row>
    <row r="658" spans="39:39" s="2106" customFormat="1" ht="14.25">
      <c r="AM658" s="2127"/>
    </row>
    <row r="659" spans="39:39" s="2106" customFormat="1" ht="14.25">
      <c r="AM659" s="2127"/>
    </row>
    <row r="660" spans="39:39" s="2106" customFormat="1" ht="14.25">
      <c r="AM660" s="2127"/>
    </row>
    <row r="661" spans="39:39" s="2106" customFormat="1" ht="14.25">
      <c r="AM661" s="2127"/>
    </row>
    <row r="662" spans="39:39" s="2106" customFormat="1" ht="14.25">
      <c r="AM662" s="2127"/>
    </row>
    <row r="663" spans="39:39" s="2106" customFormat="1" ht="14.25">
      <c r="AM663" s="2127"/>
    </row>
    <row r="664" spans="39:39" s="2106" customFormat="1" ht="14.25">
      <c r="AM664" s="2127"/>
    </row>
    <row r="665" spans="39:39" s="2106" customFormat="1" ht="14.25">
      <c r="AM665" s="2127"/>
    </row>
    <row r="666" spans="39:39" s="2106" customFormat="1" ht="14.25">
      <c r="AM666" s="2127"/>
    </row>
    <row r="667" spans="39:39" s="2106" customFormat="1" ht="14.25">
      <c r="AM667" s="2127"/>
    </row>
    <row r="668" spans="39:39" s="2106" customFormat="1" ht="14.25">
      <c r="AM668" s="2127"/>
    </row>
    <row r="669" spans="39:39" s="2106" customFormat="1" ht="14.25">
      <c r="AM669" s="2127"/>
    </row>
    <row r="670" spans="39:39" s="2106" customFormat="1" ht="14.25">
      <c r="AM670" s="2127"/>
    </row>
    <row r="671" spans="39:39" s="2106" customFormat="1" ht="14.25">
      <c r="AM671" s="2127"/>
    </row>
    <row r="672" spans="39:39" s="2106" customFormat="1" ht="14.25">
      <c r="AM672" s="2127"/>
    </row>
    <row r="673" spans="39:39" s="2106" customFormat="1" ht="14.25">
      <c r="AM673" s="2127"/>
    </row>
    <row r="674" spans="39:39" s="2106" customFormat="1" ht="14.25">
      <c r="AM674" s="2127"/>
    </row>
    <row r="675" spans="39:39" s="2106" customFormat="1" ht="14.25">
      <c r="AM675" s="2127"/>
    </row>
    <row r="676" spans="39:39" s="2106" customFormat="1" ht="14.25">
      <c r="AM676" s="2127"/>
    </row>
    <row r="677" spans="39:39" s="2106" customFormat="1" ht="14.25">
      <c r="AM677" s="2127"/>
    </row>
    <row r="678" spans="39:39" s="2106" customFormat="1" ht="14.25">
      <c r="AM678" s="2127"/>
    </row>
    <row r="679" spans="39:39" s="2106" customFormat="1" ht="14.25">
      <c r="AM679" s="2127"/>
    </row>
    <row r="680" spans="39:39" s="2106" customFormat="1" ht="14.25">
      <c r="AM680" s="2127"/>
    </row>
    <row r="681" spans="39:39" s="2106" customFormat="1" ht="14.25">
      <c r="AM681" s="2127"/>
    </row>
    <row r="682" spans="39:39" s="2106" customFormat="1" ht="14.25">
      <c r="AM682" s="2127"/>
    </row>
    <row r="683" spans="39:39" s="2106" customFormat="1" ht="14.25">
      <c r="AM683" s="2127"/>
    </row>
    <row r="684" spans="39:39" s="2106" customFormat="1" ht="14.25">
      <c r="AM684" s="2127"/>
    </row>
    <row r="685" spans="39:39" s="2106" customFormat="1" ht="14.25">
      <c r="AM685" s="2127"/>
    </row>
    <row r="686" spans="39:39" s="2106" customFormat="1" ht="14.25">
      <c r="AM686" s="2127"/>
    </row>
    <row r="687" spans="39:39" s="2106" customFormat="1" ht="14.25">
      <c r="AM687" s="2127"/>
    </row>
    <row r="688" spans="39:39" s="2106" customFormat="1" ht="14.25">
      <c r="AM688" s="2127"/>
    </row>
    <row r="689" spans="39:39" s="2106" customFormat="1" ht="14.25">
      <c r="AM689" s="2127"/>
    </row>
    <row r="690" spans="39:39" s="2106" customFormat="1" ht="14.25">
      <c r="AM690" s="2127"/>
    </row>
    <row r="691" spans="39:39" s="2106" customFormat="1" ht="14.25">
      <c r="AM691" s="2127"/>
    </row>
    <row r="692" spans="39:39" s="2106" customFormat="1" ht="14.25">
      <c r="AM692" s="2127"/>
    </row>
    <row r="693" spans="39:39" s="2106" customFormat="1" ht="14.25">
      <c r="AM693" s="2127"/>
    </row>
    <row r="694" spans="39:39" s="2106" customFormat="1" ht="14.25">
      <c r="AM694" s="2127"/>
    </row>
    <row r="695" spans="39:39" s="2106" customFormat="1" ht="14.25">
      <c r="AM695" s="2127"/>
    </row>
    <row r="696" spans="39:39" s="2106" customFormat="1" ht="14.25">
      <c r="AM696" s="2127"/>
    </row>
    <row r="697" spans="39:39" s="2106" customFormat="1" ht="14.25">
      <c r="AM697" s="2127"/>
    </row>
    <row r="698" spans="39:39" s="2106" customFormat="1" ht="14.25">
      <c r="AM698" s="2127"/>
    </row>
    <row r="699" spans="39:39" s="2106" customFormat="1" ht="14.25">
      <c r="AM699" s="2127"/>
    </row>
    <row r="700" spans="39:39" s="2106" customFormat="1" ht="14.25">
      <c r="AM700" s="2127"/>
    </row>
    <row r="701" spans="39:39" s="2106" customFormat="1" ht="14.25">
      <c r="AM701" s="2127"/>
    </row>
    <row r="702" spans="39:39" s="2106" customFormat="1" ht="14.25">
      <c r="AM702" s="2127"/>
    </row>
    <row r="703" spans="39:39" s="2106" customFormat="1" ht="14.25">
      <c r="AM703" s="2127"/>
    </row>
    <row r="704" spans="39:39" s="2106" customFormat="1" ht="14.25">
      <c r="AM704" s="2127"/>
    </row>
    <row r="705" spans="39:39" s="2106" customFormat="1" ht="14.25">
      <c r="AM705" s="2127"/>
    </row>
    <row r="706" spans="39:39" s="2106" customFormat="1" ht="14.25">
      <c r="AM706" s="2127"/>
    </row>
    <row r="707" spans="39:39" s="2106" customFormat="1" ht="14.25">
      <c r="AM707" s="2127"/>
    </row>
    <row r="708" spans="39:39" s="2106" customFormat="1" ht="14.25">
      <c r="AM708" s="2127"/>
    </row>
    <row r="709" spans="39:39" s="2106" customFormat="1" ht="14.25">
      <c r="AM709" s="2127"/>
    </row>
    <row r="710" spans="39:39" s="2106" customFormat="1" ht="14.25">
      <c r="AM710" s="2127"/>
    </row>
    <row r="711" spans="39:39" s="2106" customFormat="1" ht="14.25">
      <c r="AM711" s="2127"/>
    </row>
    <row r="712" spans="39:39" s="2106" customFormat="1" ht="14.25">
      <c r="AM712" s="2127"/>
    </row>
    <row r="713" spans="39:39" s="2106" customFormat="1" ht="14.25">
      <c r="AM713" s="2127"/>
    </row>
    <row r="714" spans="39:39" s="2106" customFormat="1" ht="14.25">
      <c r="AM714" s="2127"/>
    </row>
    <row r="715" spans="39:39" s="2106" customFormat="1" ht="14.25">
      <c r="AM715" s="2127"/>
    </row>
    <row r="716" spans="39:39" s="2106" customFormat="1" ht="14.25">
      <c r="AM716" s="2127"/>
    </row>
    <row r="717" spans="39:39" s="2106" customFormat="1" ht="14.25">
      <c r="AM717" s="2127"/>
    </row>
    <row r="718" spans="39:39" s="2106" customFormat="1" ht="14.25">
      <c r="AM718" s="2127"/>
    </row>
    <row r="719" spans="39:39" s="2106" customFormat="1" ht="14.25">
      <c r="AM719" s="2127"/>
    </row>
    <row r="720" spans="39:39" s="2106" customFormat="1" ht="14.25">
      <c r="AM720" s="2127"/>
    </row>
    <row r="721" spans="39:39" s="2106" customFormat="1" ht="14.25">
      <c r="AM721" s="2127"/>
    </row>
    <row r="722" spans="39:39" s="2106" customFormat="1" ht="14.25">
      <c r="AM722" s="2127"/>
    </row>
    <row r="723" spans="39:39" s="2106" customFormat="1" ht="14.25">
      <c r="AM723" s="2127"/>
    </row>
    <row r="724" spans="39:39" s="2106" customFormat="1" ht="14.25">
      <c r="AM724" s="2127"/>
    </row>
    <row r="725" spans="39:39" s="2106" customFormat="1" ht="14.25">
      <c r="AM725" s="2127"/>
    </row>
    <row r="726" spans="39:39" s="2106" customFormat="1" ht="14.25">
      <c r="AM726" s="2127"/>
    </row>
    <row r="727" spans="39:39" s="2106" customFormat="1" ht="14.25">
      <c r="AM727" s="2127"/>
    </row>
    <row r="728" spans="39:39" s="2106" customFormat="1" ht="14.25">
      <c r="AM728" s="2127"/>
    </row>
    <row r="729" spans="39:39" s="2106" customFormat="1" ht="14.25">
      <c r="AM729" s="2127"/>
    </row>
    <row r="730" spans="39:39" s="2106" customFormat="1" ht="14.25">
      <c r="AM730" s="2127"/>
    </row>
    <row r="731" spans="39:39" s="2106" customFormat="1" ht="14.25">
      <c r="AM731" s="2127"/>
    </row>
    <row r="732" spans="39:39" s="2106" customFormat="1" ht="14.25">
      <c r="AM732" s="2127"/>
    </row>
    <row r="733" spans="39:39" s="2106" customFormat="1" ht="14.25">
      <c r="AM733" s="2127"/>
    </row>
    <row r="734" spans="39:39" s="2106" customFormat="1" ht="14.25">
      <c r="AM734" s="2127"/>
    </row>
    <row r="735" spans="39:39" s="2106" customFormat="1" ht="14.25">
      <c r="AM735" s="2127"/>
    </row>
    <row r="736" spans="39:39" s="2106" customFormat="1" ht="14.25">
      <c r="AM736" s="2127"/>
    </row>
    <row r="737" spans="39:39" s="2106" customFormat="1" ht="14.25">
      <c r="AM737" s="2127"/>
    </row>
    <row r="738" spans="39:39" s="2106" customFormat="1" ht="14.25">
      <c r="AM738" s="2127"/>
    </row>
    <row r="739" spans="39:39" s="2106" customFormat="1" ht="14.25">
      <c r="AM739" s="2127"/>
    </row>
    <row r="740" spans="39:39" s="2106" customFormat="1" ht="14.25">
      <c r="AM740" s="2127"/>
    </row>
    <row r="741" spans="39:39" s="2106" customFormat="1" ht="14.25">
      <c r="AM741" s="2127"/>
    </row>
    <row r="742" spans="39:39" s="2106" customFormat="1" ht="14.25">
      <c r="AM742" s="2127"/>
    </row>
    <row r="743" spans="39:39" s="2106" customFormat="1" ht="14.25">
      <c r="AM743" s="2127"/>
    </row>
    <row r="744" spans="39:39" s="2106" customFormat="1" ht="14.25">
      <c r="AM744" s="2127"/>
    </row>
    <row r="745" spans="39:39" s="2106" customFormat="1" ht="14.25">
      <c r="AM745" s="2127"/>
    </row>
    <row r="746" spans="39:39" s="2106" customFormat="1" ht="14.25">
      <c r="AM746" s="2127"/>
    </row>
    <row r="747" spans="39:39" s="2106" customFormat="1" ht="14.25">
      <c r="AM747" s="2127"/>
    </row>
    <row r="748" spans="39:39" s="2106" customFormat="1" ht="14.25">
      <c r="AM748" s="2127"/>
    </row>
    <row r="749" spans="39:39" s="2106" customFormat="1" ht="14.25">
      <c r="AM749" s="2127"/>
    </row>
    <row r="750" spans="39:39" s="2106" customFormat="1" ht="14.25">
      <c r="AM750" s="2127"/>
    </row>
    <row r="751" spans="39:39" s="2106" customFormat="1" ht="14.25">
      <c r="AM751" s="2127"/>
    </row>
    <row r="752" spans="39:39" s="2106" customFormat="1" ht="14.25">
      <c r="AM752" s="2127"/>
    </row>
    <row r="753" spans="39:39" s="2106" customFormat="1" ht="14.25">
      <c r="AM753" s="2127"/>
    </row>
    <row r="754" spans="39:39" s="2106" customFormat="1" ht="14.25">
      <c r="AM754" s="2127"/>
    </row>
    <row r="755" spans="39:39" s="2106" customFormat="1" ht="14.25">
      <c r="AM755" s="2127"/>
    </row>
    <row r="756" spans="39:39" s="2106" customFormat="1" ht="14.25">
      <c r="AM756" s="2127"/>
    </row>
    <row r="757" spans="39:39" s="2106" customFormat="1" ht="14.25">
      <c r="AM757" s="2127"/>
    </row>
    <row r="758" spans="39:39" s="2106" customFormat="1" ht="14.25">
      <c r="AM758" s="2127"/>
    </row>
    <row r="759" spans="39:39" s="2106" customFormat="1" ht="14.25">
      <c r="AM759" s="2127"/>
    </row>
    <row r="760" spans="39:39" s="2106" customFormat="1" ht="14.25">
      <c r="AM760" s="2127"/>
    </row>
    <row r="761" spans="39:39" s="2106" customFormat="1" ht="14.25">
      <c r="AM761" s="2127"/>
    </row>
    <row r="762" spans="39:39" s="2106" customFormat="1" ht="14.25">
      <c r="AM762" s="2127"/>
    </row>
    <row r="763" spans="39:39" s="2106" customFormat="1" ht="14.25">
      <c r="AM763" s="2127"/>
    </row>
    <row r="764" spans="39:39" s="2106" customFormat="1" ht="14.25">
      <c r="AM764" s="2127"/>
    </row>
    <row r="765" spans="39:39" s="2106" customFormat="1" ht="14.25">
      <c r="AM765" s="2127"/>
    </row>
    <row r="766" spans="39:39" s="2106" customFormat="1" ht="14.25">
      <c r="AM766" s="2127"/>
    </row>
    <row r="767" spans="39:39" s="2106" customFormat="1" ht="14.25">
      <c r="AM767" s="2127"/>
    </row>
    <row r="768" spans="39:39" s="2106" customFormat="1" ht="14.25">
      <c r="AM768" s="2127"/>
    </row>
    <row r="769" spans="39:39" s="2106" customFormat="1" ht="14.25">
      <c r="AM769" s="2127"/>
    </row>
    <row r="770" spans="39:39" s="2106" customFormat="1" ht="14.25">
      <c r="AM770" s="2127"/>
    </row>
    <row r="771" spans="39:39" s="2106" customFormat="1" ht="14.25">
      <c r="AM771" s="2127"/>
    </row>
    <row r="772" spans="39:39" s="2106" customFormat="1" ht="14.25">
      <c r="AM772" s="2127"/>
    </row>
    <row r="773" spans="39:39" s="2106" customFormat="1" ht="14.25">
      <c r="AM773" s="2127"/>
    </row>
    <row r="774" spans="39:39" s="2106" customFormat="1" ht="14.25">
      <c r="AM774" s="2127"/>
    </row>
    <row r="775" spans="39:39" s="2106" customFormat="1" ht="14.25">
      <c r="AM775" s="2127"/>
    </row>
    <row r="776" spans="39:39" s="2106" customFormat="1" ht="14.25">
      <c r="AM776" s="2127"/>
    </row>
    <row r="777" spans="39:39" s="2106" customFormat="1" ht="14.25">
      <c r="AM777" s="2127"/>
    </row>
    <row r="778" spans="39:39" s="2106" customFormat="1" ht="14.25">
      <c r="AM778" s="2127"/>
    </row>
    <row r="779" spans="39:39" s="2106" customFormat="1" ht="14.25">
      <c r="AM779" s="2127"/>
    </row>
    <row r="780" spans="39:39" s="2106" customFormat="1" ht="14.25">
      <c r="AM780" s="2127"/>
    </row>
    <row r="781" spans="39:39" s="2106" customFormat="1" ht="14.25">
      <c r="AM781" s="2127"/>
    </row>
    <row r="782" spans="39:39" s="2106" customFormat="1" ht="14.25">
      <c r="AM782" s="2127"/>
    </row>
    <row r="783" spans="39:39" s="2106" customFormat="1" ht="14.25">
      <c r="AM783" s="2127"/>
    </row>
    <row r="784" spans="39:39" s="2106" customFormat="1" ht="14.25">
      <c r="AM784" s="2127"/>
    </row>
    <row r="785" spans="39:39" s="2106" customFormat="1" ht="14.25">
      <c r="AM785" s="2127"/>
    </row>
    <row r="786" spans="39:39" s="2106" customFormat="1" ht="14.25">
      <c r="AM786" s="2127"/>
    </row>
    <row r="787" spans="39:39" s="2106" customFormat="1" ht="14.25">
      <c r="AM787" s="2127"/>
    </row>
    <row r="788" spans="39:39" s="2106" customFormat="1" ht="14.25">
      <c r="AM788" s="2127"/>
    </row>
    <row r="789" spans="39:39" s="2106" customFormat="1" ht="14.25">
      <c r="AM789" s="2127"/>
    </row>
    <row r="790" spans="39:39" s="2106" customFormat="1" ht="14.25">
      <c r="AM790" s="2127"/>
    </row>
    <row r="791" spans="39:39" s="2106" customFormat="1" ht="14.25">
      <c r="AM791" s="2127"/>
    </row>
    <row r="792" spans="39:39" s="2106" customFormat="1" ht="14.25">
      <c r="AM792" s="2127"/>
    </row>
    <row r="793" spans="39:39" s="2106" customFormat="1" ht="14.25">
      <c r="AM793" s="2127"/>
    </row>
    <row r="794" spans="39:39" s="2106" customFormat="1" ht="14.25">
      <c r="AM794" s="2127"/>
    </row>
    <row r="795" spans="39:39" s="2106" customFormat="1" ht="14.25">
      <c r="AM795" s="2127"/>
    </row>
    <row r="796" spans="39:39" s="2106" customFormat="1" ht="14.25">
      <c r="AM796" s="2127"/>
    </row>
    <row r="797" spans="39:39" s="2106" customFormat="1" ht="14.25">
      <c r="AM797" s="2127"/>
    </row>
    <row r="798" spans="39:39" s="2106" customFormat="1" ht="14.25">
      <c r="AM798" s="2127"/>
    </row>
    <row r="799" spans="39:39" s="2106" customFormat="1" ht="14.25">
      <c r="AM799" s="2127"/>
    </row>
    <row r="800" spans="39:39" s="2106" customFormat="1" ht="14.25">
      <c r="AM800" s="2127"/>
    </row>
    <row r="801" spans="39:39" s="2106" customFormat="1" ht="14.25">
      <c r="AM801" s="2127"/>
    </row>
    <row r="802" spans="39:39" s="2106" customFormat="1" ht="14.25">
      <c r="AM802" s="2127"/>
    </row>
    <row r="803" spans="39:39" s="2106" customFormat="1" ht="14.25">
      <c r="AM803" s="2127"/>
    </row>
  </sheetData>
  <sheetProtection algorithmName="SHA-512" hashValue="hzSPiFwwh9vlISNpHfXZpRmqhzdAeau0jJ7caR8p4zK/o1aLHeudd12nYvOZaVpzv2UVDM0kc9m/bBoVmH7TUw==" saltValue="/OEscOI82nK5wroxWUG0fw=="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5" bottom="0.5" header="0.3" footer="0.3"/>
  <pageSetup scale="84" fitToHeight="0" orientation="landscape"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499" t="str">
        <f>'Part I-Project Identification'!A2</f>
        <v>Part I-Project Identification - 2024-0 Redland Trace, Lawrenceville, Gwinnett County</v>
      </c>
      <c r="B1" s="2499"/>
      <c r="C1" s="2499"/>
      <c r="D1" s="2499"/>
      <c r="E1" s="2499"/>
      <c r="F1" s="2499"/>
      <c r="G1" s="2499"/>
      <c r="H1" s="2499"/>
      <c r="I1" s="2499"/>
      <c r="J1" s="2499"/>
      <c r="K1" s="2499"/>
      <c r="L1" s="2499"/>
      <c r="M1" s="2499"/>
      <c r="N1" s="2499"/>
      <c r="O1" s="2499"/>
      <c r="P1" s="2499"/>
    </row>
    <row r="2" spans="1:16">
      <c r="A2" s="2500"/>
      <c r="B2" s="2500"/>
      <c r="C2" s="2500"/>
      <c r="D2" s="2500"/>
      <c r="E2" s="2500"/>
      <c r="F2" s="2500"/>
      <c r="G2" s="2500"/>
      <c r="H2" s="2500"/>
      <c r="I2" s="2500"/>
      <c r="J2" s="2500"/>
      <c r="K2" s="2500"/>
      <c r="L2" s="2500"/>
      <c r="M2" s="2500"/>
      <c r="N2" s="2500"/>
      <c r="O2" s="2500"/>
      <c r="P2" s="2500"/>
    </row>
    <row r="3" spans="1:16" ht="12.95" customHeight="1">
      <c r="A3" s="2499" t="s">
        <v>5053</v>
      </c>
      <c r="B3" s="2499"/>
      <c r="C3" s="2499"/>
      <c r="D3" s="2499"/>
      <c r="E3" s="2499"/>
      <c r="F3" s="2499"/>
      <c r="G3" s="2499"/>
      <c r="H3" s="2499"/>
      <c r="I3" s="2499"/>
      <c r="J3" s="2499"/>
      <c r="K3" s="2499"/>
      <c r="L3" s="2499"/>
      <c r="M3" s="2499"/>
      <c r="N3" s="2499"/>
      <c r="O3" s="2499"/>
      <c r="P3" s="2499"/>
    </row>
    <row r="4" spans="1:16">
      <c r="A4" s="2500"/>
      <c r="B4" s="2500"/>
      <c r="C4" s="2500"/>
      <c r="D4" s="2500"/>
      <c r="E4" s="2500"/>
      <c r="F4" s="2500"/>
      <c r="G4" s="2500"/>
      <c r="H4" s="2500"/>
      <c r="I4" s="2500"/>
      <c r="J4" s="2500"/>
      <c r="K4" s="2500"/>
      <c r="L4" s="2500"/>
      <c r="M4" s="2500"/>
      <c r="N4" s="2500"/>
      <c r="O4" s="2500"/>
      <c r="P4" s="2500"/>
    </row>
    <row r="5" spans="1:16" ht="13.5" customHeight="1">
      <c r="A5" s="2501" t="str">
        <f>'Part I-Project Identification'!A6</f>
        <v>2024 May 7</v>
      </c>
      <c r="B5" s="2502"/>
      <c r="C5" s="2502"/>
      <c r="D5" s="2502"/>
      <c r="E5" s="1728"/>
      <c r="F5" s="2500"/>
      <c r="G5" s="2503" t="s">
        <v>5054</v>
      </c>
      <c r="H5" s="1728"/>
      <c r="I5" s="1728"/>
      <c r="J5" s="1728"/>
      <c r="K5" s="1728"/>
      <c r="L5" s="2500"/>
      <c r="M5" s="1728"/>
      <c r="N5" s="1728"/>
      <c r="O5" s="1728"/>
      <c r="P5" s="2504" t="s">
        <v>3207</v>
      </c>
    </row>
    <row r="6" spans="1:16" ht="13.5" customHeight="1">
      <c r="A6" s="2502"/>
      <c r="B6" s="2502"/>
      <c r="C6" s="2502"/>
      <c r="D6" s="2502"/>
      <c r="E6" s="358"/>
      <c r="F6" s="2500"/>
      <c r="G6" s="2503" t="s">
        <v>5055</v>
      </c>
      <c r="H6" s="1533"/>
      <c r="I6" s="1533"/>
      <c r="J6" s="1533"/>
      <c r="K6" s="1728"/>
      <c r="L6" s="1728"/>
      <c r="M6" s="1728"/>
      <c r="N6" s="1728"/>
      <c r="O6" s="2499" t="str">
        <f>'Part I-Project Identification'!O7</f>
        <v>2024-0</v>
      </c>
      <c r="P6" s="2499"/>
    </row>
    <row r="7" spans="1:16" ht="12.95" customHeight="1">
      <c r="A7" s="2502"/>
      <c r="B7" s="2502"/>
      <c r="C7" s="2502"/>
      <c r="D7" s="2502"/>
      <c r="E7" s="358"/>
      <c r="F7" s="2499"/>
      <c r="G7" s="2505" t="s">
        <v>2892</v>
      </c>
      <c r="H7" s="1533"/>
      <c r="I7" s="1533"/>
      <c r="J7" s="1533"/>
      <c r="K7" s="1728"/>
      <c r="L7" s="1728"/>
      <c r="M7" s="1728"/>
      <c r="N7" s="1728"/>
      <c r="O7" s="1728"/>
      <c r="P7" s="1728"/>
    </row>
    <row r="8" spans="1:16">
      <c r="A8" s="2500"/>
      <c r="B8" s="1728"/>
      <c r="C8" s="1728"/>
      <c r="D8" s="1728"/>
      <c r="E8" s="1533"/>
      <c r="F8" s="1728"/>
      <c r="G8" s="1728"/>
      <c r="H8" s="1533"/>
      <c r="I8" s="1533"/>
      <c r="J8" s="1728"/>
      <c r="K8" s="1728"/>
      <c r="L8" s="1728"/>
      <c r="M8" s="1533"/>
      <c r="N8" s="1728"/>
      <c r="O8" s="1728"/>
      <c r="P8" s="1728"/>
    </row>
    <row r="9" spans="1:16">
      <c r="A9" s="2499" t="s">
        <v>572</v>
      </c>
      <c r="B9" s="2499" t="s">
        <v>2186</v>
      </c>
      <c r="C9" s="1728"/>
      <c r="D9" s="377"/>
      <c r="E9" s="1533"/>
      <c r="F9" s="2506" t="s">
        <v>3184</v>
      </c>
      <c r="G9" s="1728"/>
      <c r="H9" s="1728"/>
      <c r="I9" s="2507">
        <f>'Part III-A-Uses of Funds'!$J$191</f>
        <v>1350000</v>
      </c>
      <c r="J9" s="2507"/>
      <c r="K9" s="1728"/>
      <c r="L9" s="1728" t="s">
        <v>3185</v>
      </c>
      <c r="M9" s="1728"/>
      <c r="N9" s="1728"/>
      <c r="O9" s="2508">
        <f>'Part II-Sources of Funds'!$I$6</f>
        <v>0</v>
      </c>
      <c r="P9" s="2508"/>
    </row>
    <row r="10" spans="1:16">
      <c r="A10" s="2499"/>
      <c r="B10" s="2499"/>
      <c r="C10" s="1728"/>
      <c r="D10" s="377"/>
      <c r="E10" s="1533"/>
      <c r="F10" s="1533"/>
      <c r="G10" s="1728"/>
      <c r="H10" s="1728"/>
      <c r="I10" s="2509"/>
      <c r="J10" s="1728"/>
      <c r="K10" s="1728"/>
      <c r="L10" s="1728"/>
      <c r="M10" s="1728"/>
      <c r="N10" s="2510"/>
      <c r="O10" s="1728"/>
      <c r="P10" s="1728"/>
    </row>
    <row r="11" spans="1:16" ht="13.5">
      <c r="A11" s="2509" t="s">
        <v>688</v>
      </c>
      <c r="B11" s="2499" t="s">
        <v>1886</v>
      </c>
      <c r="C11" s="1728"/>
      <c r="D11" s="1728"/>
      <c r="E11" s="1728"/>
      <c r="F11" s="2474" t="str">
        <f>'Part I-Project Identification'!F12</f>
        <v>9% Credit Competitive Round only</v>
      </c>
      <c r="G11" s="2474"/>
      <c r="H11" s="2474"/>
      <c r="I11" s="2511" t="s">
        <v>5056</v>
      </c>
      <c r="J11" s="2474" t="s">
        <v>5057</v>
      </c>
      <c r="K11" s="2499"/>
      <c r="L11" s="1533"/>
      <c r="M11" s="1728"/>
      <c r="N11" s="1728"/>
      <c r="O11" s="1728" t="str">
        <f>'Part I-Project Identification'!O12</f>
        <v>2024QD053</v>
      </c>
      <c r="P11" s="1728"/>
    </row>
    <row r="12" spans="1:16" ht="15">
      <c r="A12" s="2512"/>
      <c r="B12" s="2483"/>
      <c r="C12" s="2513"/>
      <c r="D12" s="2513"/>
      <c r="E12" s="2513"/>
      <c r="F12" s="2514" t="s">
        <v>4825</v>
      </c>
      <c r="G12" s="2483"/>
      <c r="H12" s="2515"/>
      <c r="I12" s="2515"/>
      <c r="J12" s="2515"/>
      <c r="K12" s="2515"/>
      <c r="L12" s="2515"/>
      <c r="M12" s="2515"/>
      <c r="N12" s="2515"/>
      <c r="O12" s="2515"/>
      <c r="P12" s="2485">
        <f>'Part I-Project Identification'!P13</f>
        <v>0</v>
      </c>
    </row>
    <row r="13" spans="1:16">
      <c r="A13" s="2500"/>
      <c r="B13" s="377"/>
      <c r="C13" s="377"/>
      <c r="D13" s="377"/>
      <c r="E13" s="377"/>
      <c r="F13" s="1728"/>
      <c r="G13" s="1728"/>
      <c r="H13" s="1533"/>
      <c r="I13" s="1728"/>
      <c r="J13" s="2506"/>
      <c r="K13" s="2509"/>
      <c r="L13" s="1728"/>
      <c r="M13" s="1533"/>
      <c r="N13" s="1728"/>
      <c r="O13" s="1728"/>
      <c r="P13" s="1728"/>
    </row>
    <row r="14" spans="1:16">
      <c r="A14" s="2509" t="s">
        <v>690</v>
      </c>
      <c r="B14" s="2499" t="s">
        <v>3554</v>
      </c>
      <c r="C14" s="1728"/>
      <c r="D14" s="2506"/>
      <c r="E14" s="1533"/>
      <c r="F14" s="1728"/>
      <c r="G14" s="1533"/>
      <c r="H14" s="1533"/>
      <c r="I14" s="2516" t="s">
        <v>3212</v>
      </c>
      <c r="J14" s="1728"/>
      <c r="K14" s="1728"/>
      <c r="L14" s="2510"/>
      <c r="M14" s="1728"/>
      <c r="N14" s="1728"/>
      <c r="O14" s="1728"/>
      <c r="P14" s="1728"/>
    </row>
    <row r="15" spans="1:16">
      <c r="A15" s="1728"/>
      <c r="B15" s="1728" t="s">
        <v>3213</v>
      </c>
      <c r="C15" s="1728"/>
      <c r="D15" s="1728"/>
      <c r="E15" s="1728"/>
      <c r="F15" s="1728" t="str">
        <f>'Part I-Project Identification'!F16</f>
        <v>Zimmerman Properties SE, LLC</v>
      </c>
      <c r="G15" s="1728"/>
      <c r="H15" s="1728"/>
      <c r="I15" s="1728" t="s">
        <v>1665</v>
      </c>
      <c r="J15" s="1728" t="str">
        <f>'Part I-Project Identification'!J16</f>
        <v>Vaughn Zimmerman</v>
      </c>
      <c r="K15" s="1728"/>
      <c r="L15" s="1728"/>
      <c r="M15" s="2506" t="s">
        <v>1834</v>
      </c>
      <c r="N15" s="1728" t="str">
        <f>'Part I-Project Identification'!N16</f>
        <v>Managing Member</v>
      </c>
      <c r="O15" s="1728"/>
      <c r="P15" s="1728"/>
    </row>
    <row r="16" spans="1:16">
      <c r="A16" s="1728"/>
      <c r="B16" s="2506" t="s">
        <v>1597</v>
      </c>
      <c r="C16" s="1728"/>
      <c r="D16" s="1728"/>
      <c r="E16" s="1728"/>
      <c r="F16" s="2517">
        <f>'Part I-Project Identification'!F21</f>
        <v>4178831632</v>
      </c>
      <c r="G16" s="2517"/>
      <c r="H16" s="2517"/>
      <c r="I16" s="2506" t="s">
        <v>1596</v>
      </c>
      <c r="J16" s="1533">
        <f>'Part I-Project Identification'!J17</f>
        <v>0</v>
      </c>
      <c r="K16" s="1728"/>
      <c r="L16" s="1728"/>
      <c r="M16" s="2506" t="s">
        <v>1598</v>
      </c>
      <c r="N16" s="2517">
        <f>'Part I-Project Identification'!N17</f>
        <v>4178831632</v>
      </c>
      <c r="O16" s="2517"/>
      <c r="P16" s="2517"/>
    </row>
    <row r="17" spans="1:16">
      <c r="A17" s="1728"/>
      <c r="B17" s="2506" t="s">
        <v>1837</v>
      </c>
      <c r="C17" s="1728"/>
      <c r="D17" s="1728"/>
      <c r="E17" s="1728"/>
      <c r="F17" s="1728" t="str">
        <f>'Part I-Project Identification'!F18</f>
        <v>zpse@wilhoitproperties.com</v>
      </c>
      <c r="G17" s="1728"/>
      <c r="H17" s="1728"/>
      <c r="I17" s="1728"/>
      <c r="J17" s="1728"/>
      <c r="K17" s="1728"/>
      <c r="L17" s="1728"/>
      <c r="M17" s="2506" t="s">
        <v>1833</v>
      </c>
      <c r="N17" s="2517">
        <f>'Part I-Project Identification'!N18</f>
        <v>0</v>
      </c>
      <c r="O17" s="2517"/>
      <c r="P17" s="2517"/>
    </row>
    <row r="18" spans="1:16">
      <c r="A18" s="2500"/>
      <c r="B18" s="2499" t="s">
        <v>3553</v>
      </c>
      <c r="C18" s="377"/>
      <c r="D18" s="1728"/>
      <c r="E18" s="1728"/>
      <c r="F18" s="1728"/>
      <c r="G18" s="1728"/>
      <c r="H18" s="1533"/>
      <c r="I18" s="1728"/>
      <c r="J18" s="377"/>
      <c r="K18" s="1728"/>
      <c r="L18" s="1728"/>
      <c r="M18" s="1728"/>
      <c r="N18" s="1728"/>
      <c r="O18" s="1728"/>
      <c r="P18" s="1533"/>
    </row>
    <row r="19" spans="1:16">
      <c r="A19" s="1728"/>
      <c r="B19" s="1728" t="s">
        <v>3213</v>
      </c>
      <c r="C19" s="1728"/>
      <c r="D19" s="1728"/>
      <c r="E19" s="1728"/>
      <c r="F19" s="1728" t="str">
        <f>'Part I-Project Identification'!F20</f>
        <v>Zimmerman Properties SE, LLC</v>
      </c>
      <c r="G19" s="1728"/>
      <c r="H19" s="1728"/>
      <c r="I19" s="1728" t="s">
        <v>1665</v>
      </c>
      <c r="J19" s="1728" t="str">
        <f>'Part I-Project Identification'!J20</f>
        <v>Robert Fink</v>
      </c>
      <c r="K19" s="1728"/>
      <c r="L19" s="1728"/>
      <c r="M19" s="2506" t="s">
        <v>1834</v>
      </c>
      <c r="N19" s="1728" t="str">
        <f>'Part I-Project Identification'!N20</f>
        <v>VP Development</v>
      </c>
      <c r="O19" s="1728"/>
      <c r="P19" s="1728"/>
    </row>
    <row r="20" spans="1:16">
      <c r="A20" s="1728"/>
      <c r="B20" s="2506" t="s">
        <v>1597</v>
      </c>
      <c r="C20" s="1728"/>
      <c r="D20" s="1728"/>
      <c r="E20" s="1728"/>
      <c r="F20" s="2517" t="e">
        <f>'Part I-Project Identification'!#REF!</f>
        <v>#REF!</v>
      </c>
      <c r="G20" s="2517"/>
      <c r="H20" s="2517"/>
      <c r="I20" s="2506" t="s">
        <v>1596</v>
      </c>
      <c r="J20" s="1533">
        <f>'Part I-Project Identification'!J21</f>
        <v>0</v>
      </c>
      <c r="K20" s="1728"/>
      <c r="L20" s="1728"/>
      <c r="M20" s="2506" t="s">
        <v>1598</v>
      </c>
      <c r="N20" s="2517">
        <f>'Part I-Project Identification'!N21</f>
        <v>4178831632</v>
      </c>
      <c r="O20" s="2517"/>
      <c r="P20" s="2517"/>
    </row>
    <row r="21" spans="1:16">
      <c r="A21" s="1728"/>
      <c r="B21" s="2506" t="s">
        <v>1837</v>
      </c>
      <c r="C21" s="1728"/>
      <c r="D21" s="1728"/>
      <c r="E21" s="1728"/>
      <c r="F21" s="1728" t="str">
        <f>'Part I-Project Identification'!F22</f>
        <v>rfink@wilhoitproperties.com</v>
      </c>
      <c r="G21" s="1728"/>
      <c r="H21" s="1728"/>
      <c r="I21" s="1728"/>
      <c r="J21" s="1728"/>
      <c r="K21" s="1728"/>
      <c r="L21" s="1728"/>
      <c r="M21" s="2506" t="s">
        <v>1833</v>
      </c>
      <c r="N21" s="2517">
        <f>'Part I-Project Identification'!N22</f>
        <v>0</v>
      </c>
      <c r="O21" s="2517"/>
      <c r="P21" s="2517"/>
    </row>
    <row r="22" spans="1:16">
      <c r="A22" s="1728"/>
      <c r="B22" s="1728"/>
      <c r="C22" s="1728"/>
      <c r="D22" s="1728"/>
      <c r="E22" s="1728"/>
      <c r="F22" s="1728"/>
      <c r="G22" s="1728"/>
      <c r="H22" s="1728"/>
      <c r="I22" s="377"/>
      <c r="J22" s="377"/>
      <c r="K22" s="377"/>
      <c r="L22" s="377"/>
      <c r="M22" s="377"/>
      <c r="N22" s="377"/>
      <c r="O22" s="377"/>
      <c r="P22" s="377"/>
    </row>
    <row r="23" spans="1:16">
      <c r="A23" s="2509" t="s">
        <v>1661</v>
      </c>
      <c r="B23" s="2499" t="s">
        <v>1379</v>
      </c>
      <c r="C23" s="1728"/>
      <c r="D23" s="377"/>
      <c r="E23" s="1533"/>
      <c r="F23" s="1533"/>
      <c r="G23" s="2506"/>
      <c r="H23" s="1533"/>
      <c r="I23" s="1533"/>
      <c r="J23" s="1533"/>
      <c r="K23" s="1728"/>
      <c r="L23" s="1728"/>
      <c r="M23" s="1728"/>
      <c r="N23" s="1728"/>
      <c r="O23" s="1728"/>
      <c r="P23" s="1728"/>
    </row>
    <row r="24" spans="1:16">
      <c r="A24" s="2509"/>
      <c r="B24" s="2499"/>
      <c r="C24" s="1728"/>
      <c r="D24" s="377"/>
      <c r="E24" s="1533"/>
      <c r="F24" s="1533"/>
      <c r="G24" s="2506"/>
      <c r="H24" s="1533"/>
      <c r="I24" s="1533"/>
      <c r="J24" s="1533"/>
      <c r="K24" s="1728"/>
      <c r="L24" s="2510"/>
      <c r="M24" s="2510"/>
      <c r="N24" s="1728"/>
      <c r="O24" s="1728"/>
      <c r="P24" s="1728"/>
    </row>
    <row r="25" spans="1:16">
      <c r="A25" s="2499"/>
      <c r="B25" s="1728" t="s">
        <v>573</v>
      </c>
      <c r="C25" s="1728"/>
      <c r="D25" s="2499"/>
      <c r="E25" s="1728"/>
      <c r="F25" s="1728" t="str">
        <f>'Part I-Project Identification'!F26</f>
        <v>Redland Trace</v>
      </c>
      <c r="G25" s="1728"/>
      <c r="H25" s="1728"/>
      <c r="I25" s="1728"/>
      <c r="J25" s="1728"/>
      <c r="K25" s="1728"/>
      <c r="L25" s="1728"/>
      <c r="M25" s="2506" t="s">
        <v>424</v>
      </c>
      <c r="N25" s="1728"/>
      <c r="O25" s="1728"/>
      <c r="P25" s="2518" t="str">
        <f>'Part I-Project Identification'!P26</f>
        <v>No</v>
      </c>
    </row>
    <row r="26" spans="1:16">
      <c r="A26" s="2500"/>
      <c r="B26" s="1728" t="s">
        <v>574</v>
      </c>
      <c r="C26" s="1728"/>
      <c r="D26" s="1728"/>
      <c r="E26" s="1728"/>
      <c r="F26" s="1728" t="str">
        <f>'Part I-Project Identification'!F27</f>
        <v>Lawrenceville</v>
      </c>
      <c r="G26" s="1728"/>
      <c r="H26" s="1728"/>
      <c r="I26" s="2519" t="s">
        <v>575</v>
      </c>
      <c r="J26" s="1728" t="str">
        <f>'Part I-Project Identification'!J27</f>
        <v>Gwinnett</v>
      </c>
      <c r="K26" s="1728"/>
      <c r="L26" s="1728"/>
      <c r="M26" s="2506" t="s">
        <v>425</v>
      </c>
      <c r="N26" s="1728"/>
      <c r="O26" s="1728"/>
      <c r="P26" s="2518" t="str">
        <f>'Part I-Project Identification'!P27</f>
        <v>No</v>
      </c>
    </row>
    <row r="27" spans="1:16" ht="13.5">
      <c r="A27" s="2500"/>
      <c r="B27" s="1728" t="s">
        <v>3783</v>
      </c>
      <c r="C27" s="2520"/>
      <c r="D27" s="1592"/>
      <c r="E27" s="1592"/>
      <c r="F27" s="1728" t="str">
        <f>'Part I-Project Identification'!F28</f>
        <v>Unincorporated County</v>
      </c>
      <c r="G27" s="1728"/>
      <c r="H27" s="1728"/>
      <c r="I27" s="1533"/>
      <c r="J27" s="378" t="s">
        <v>4618</v>
      </c>
      <c r="K27" s="1533"/>
      <c r="L27" s="1728"/>
      <c r="M27" s="2506" t="s">
        <v>4561</v>
      </c>
      <c r="N27" s="1728"/>
      <c r="O27" s="2521">
        <f>'Part I-Project Identification'!O28</f>
        <v>8.32</v>
      </c>
      <c r="P27" s="2521"/>
    </row>
    <row r="28" spans="1:16">
      <c r="A28" s="2500"/>
      <c r="B28" s="1728" t="s">
        <v>1453</v>
      </c>
      <c r="C28" s="1728"/>
      <c r="D28" s="1728"/>
      <c r="E28" s="1728"/>
      <c r="F28" s="2506" t="str">
        <f>'Part I-Project Identification'!F29</f>
        <v>No</v>
      </c>
      <c r="G28" s="1728"/>
      <c r="H28" s="1728"/>
      <c r="I28" s="1533"/>
      <c r="J28" s="1533" t="s">
        <v>2492</v>
      </c>
      <c r="K28" s="1533" t="str">
        <f>'Part I-Project Identification'!K29</f>
        <v>Urban</v>
      </c>
      <c r="L28" s="1728"/>
      <c r="M28" s="2506" t="s">
        <v>2393</v>
      </c>
      <c r="N28" s="2500" t="str">
        <f>'Part I-Project Identification'!N29</f>
        <v>MSA</v>
      </c>
      <c r="O28" s="1728" t="str">
        <f>'Part I-Project Identification'!O29</f>
        <v>Atlanta-Sandy Springs-Marietta</v>
      </c>
      <c r="P28" s="1728"/>
    </row>
    <row r="29" spans="1:16">
      <c r="A29" s="2500"/>
      <c r="B29" s="2500"/>
      <c r="C29" s="2520"/>
      <c r="D29" s="1592"/>
      <c r="E29" s="1592"/>
      <c r="F29" s="1533"/>
      <c r="G29" s="1533"/>
      <c r="H29" s="1533"/>
      <c r="I29" s="1533"/>
      <c r="J29" s="1592"/>
      <c r="K29" s="1533"/>
      <c r="L29" s="1533"/>
      <c r="M29" s="1728"/>
      <c r="N29" s="1728"/>
      <c r="O29" s="1728"/>
      <c r="P29" s="1533"/>
    </row>
    <row r="30" spans="1:16">
      <c r="A30" s="2509" t="s">
        <v>1663</v>
      </c>
      <c r="B30" s="2509" t="s">
        <v>4549</v>
      </c>
      <c r="C30" s="1728"/>
      <c r="D30" s="376"/>
      <c r="E30" s="376"/>
      <c r="F30" s="376"/>
      <c r="G30" s="1533"/>
      <c r="H30" s="1533"/>
      <c r="I30" s="1533"/>
      <c r="J30" s="1592"/>
      <c r="K30" s="1533"/>
      <c r="L30" s="1533"/>
      <c r="M30" s="1728"/>
      <c r="N30" s="1728"/>
      <c r="O30" s="1728"/>
      <c r="P30" s="1533"/>
    </row>
    <row r="31" spans="1:16">
      <c r="A31" s="2500"/>
      <c r="B31" s="2500"/>
      <c r="C31" s="1728"/>
      <c r="D31" s="1728"/>
      <c r="E31" s="1728"/>
      <c r="F31" s="1728"/>
      <c r="G31" s="1728"/>
      <c r="H31" s="1728"/>
      <c r="I31" s="1728"/>
      <c r="J31" s="1728"/>
      <c r="K31" s="1728"/>
      <c r="L31" s="1728"/>
      <c r="M31" s="2506"/>
      <c r="N31" s="2522"/>
      <c r="O31" s="2522"/>
      <c r="P31" s="2523"/>
    </row>
    <row r="32" spans="1:16">
      <c r="A32" s="2500"/>
      <c r="B32" s="2509" t="s">
        <v>4548</v>
      </c>
      <c r="C32" s="1728"/>
      <c r="D32" s="2524"/>
      <c r="E32" s="2524"/>
      <c r="F32" s="2524"/>
      <c r="G32" s="2524"/>
      <c r="H32" s="1533"/>
      <c r="I32" s="1728"/>
      <c r="J32" s="377"/>
      <c r="K32" s="1592"/>
      <c r="L32" s="1728"/>
      <c r="M32" s="1728"/>
      <c r="N32" s="1728"/>
      <c r="O32" s="1728"/>
      <c r="P32" s="1533"/>
    </row>
    <row r="33" spans="1:17">
      <c r="A33" s="2500"/>
      <c r="B33" s="2500"/>
      <c r="C33" s="2509"/>
      <c r="D33" s="2524"/>
      <c r="E33" s="2524"/>
      <c r="F33" s="2524"/>
      <c r="G33" s="2524"/>
      <c r="H33" s="1533"/>
      <c r="I33" s="1728"/>
      <c r="J33" s="377"/>
      <c r="K33" s="1592"/>
      <c r="L33" s="1728"/>
      <c r="M33" s="1728"/>
      <c r="N33" s="1728"/>
      <c r="O33" s="1728"/>
      <c r="P33" s="1533"/>
    </row>
    <row r="34" spans="1:17" ht="12.95" hidden="1" customHeight="1">
      <c r="A34" s="2500"/>
      <c r="B34" s="2500"/>
      <c r="C34" s="1728" t="s">
        <v>1206</v>
      </c>
      <c r="D34" s="2474"/>
      <c r="E34" s="1728"/>
      <c r="F34" s="1728"/>
      <c r="G34" s="1728"/>
      <c r="H34" s="1728"/>
      <c r="I34" s="1592"/>
      <c r="J34" s="1728"/>
      <c r="K34" s="2499"/>
      <c r="L34" s="1728" t="s">
        <v>3001</v>
      </c>
      <c r="M34" s="1728"/>
      <c r="N34" s="1728"/>
      <c r="O34" s="1728"/>
      <c r="P34" s="1592"/>
    </row>
    <row r="35" spans="1:17" ht="12.95" hidden="1" customHeight="1">
      <c r="A35" s="2500"/>
      <c r="B35" s="2499"/>
      <c r="C35" s="1728" t="s">
        <v>3809</v>
      </c>
      <c r="D35" s="1728"/>
      <c r="E35" s="1728"/>
      <c r="F35" s="1728"/>
      <c r="G35" s="1728"/>
      <c r="H35" s="1728"/>
      <c r="I35" s="1592"/>
      <c r="J35" s="2519" t="s">
        <v>2476</v>
      </c>
      <c r="K35" s="1728"/>
      <c r="L35" s="1728"/>
      <c r="M35" s="1728"/>
      <c r="N35" s="1728"/>
      <c r="O35" s="2525"/>
      <c r="P35" s="2525"/>
    </row>
    <row r="36" spans="1:17">
      <c r="A36" s="2500"/>
      <c r="B36" s="2499"/>
      <c r="C36" s="1728" t="s">
        <v>1671</v>
      </c>
      <c r="D36" s="1728"/>
      <c r="E36" s="1728"/>
      <c r="F36" s="1728"/>
      <c r="G36" s="1728"/>
      <c r="H36" s="1728"/>
      <c r="I36" s="1592"/>
      <c r="J36" s="2519" t="s">
        <v>2476</v>
      </c>
      <c r="K36" s="1728"/>
      <c r="L36" s="1728"/>
      <c r="M36" s="1728"/>
      <c r="N36" s="1728"/>
      <c r="O36" s="2525">
        <f>'Part I-Project Identification'!O37</f>
        <v>0</v>
      </c>
      <c r="P36" s="2525"/>
    </row>
    <row r="37" spans="1:17">
      <c r="A37" s="2500"/>
      <c r="B37" s="2500"/>
      <c r="C37" s="1728" t="s">
        <v>2567</v>
      </c>
      <c r="D37" s="1728"/>
      <c r="E37" s="1728"/>
      <c r="F37" s="1728"/>
      <c r="G37" s="1728"/>
      <c r="H37" s="1728"/>
      <c r="I37" s="1592"/>
      <c r="J37" s="2519" t="s">
        <v>2476</v>
      </c>
      <c r="K37" s="1728"/>
      <c r="L37" s="1728"/>
      <c r="M37" s="1728"/>
      <c r="N37" s="1728"/>
      <c r="O37" s="2525">
        <f>'Part I-Project Identification'!O38</f>
        <v>0</v>
      </c>
      <c r="P37" s="2525"/>
    </row>
    <row r="38" spans="1:17">
      <c r="A38" s="2500"/>
      <c r="B38" s="2500"/>
      <c r="C38" s="1728"/>
      <c r="D38" s="1728"/>
      <c r="E38" s="1728"/>
      <c r="F38" s="1728"/>
      <c r="G38" s="1728"/>
      <c r="H38" s="1728"/>
      <c r="I38" s="1728"/>
      <c r="J38" s="1728"/>
      <c r="K38" s="1728"/>
      <c r="L38" s="1728"/>
      <c r="M38" s="1728"/>
      <c r="N38" s="1728"/>
      <c r="O38" s="1728"/>
      <c r="P38" s="377"/>
    </row>
    <row r="39" spans="1:17">
      <c r="A39" s="1728"/>
      <c r="B39" s="2499"/>
      <c r="C39" s="1728"/>
      <c r="D39" s="1728"/>
      <c r="E39" s="1728"/>
      <c r="F39" s="1728"/>
      <c r="G39" s="1728"/>
      <c r="H39" s="1728"/>
      <c r="I39" s="1728"/>
      <c r="J39" s="1728"/>
      <c r="K39" s="1728"/>
      <c r="L39" s="377"/>
      <c r="M39" s="377"/>
      <c r="N39" s="377"/>
      <c r="O39" s="377"/>
      <c r="P39" s="2510"/>
    </row>
    <row r="40" spans="1:17">
      <c r="A40" s="2509" t="s">
        <v>495</v>
      </c>
      <c r="B40" s="376"/>
      <c r="C40" s="376" t="s">
        <v>529</v>
      </c>
      <c r="D40" s="377"/>
      <c r="E40" s="377"/>
      <c r="F40" s="377"/>
      <c r="G40" s="377"/>
      <c r="H40" s="377"/>
      <c r="I40" s="377"/>
      <c r="J40" s="377"/>
      <c r="K40" s="377"/>
      <c r="L40" s="377"/>
      <c r="M40" s="2509" t="s">
        <v>719</v>
      </c>
      <c r="N40" s="376" t="s">
        <v>74</v>
      </c>
      <c r="O40" s="377"/>
      <c r="P40" s="377"/>
    </row>
    <row r="41" spans="1:17">
      <c r="A41" s="2509"/>
      <c r="B41" s="376"/>
      <c r="C41" s="376"/>
      <c r="D41" s="377"/>
      <c r="E41" s="377"/>
      <c r="F41" s="377"/>
      <c r="G41" s="377"/>
      <c r="H41" s="377"/>
      <c r="I41" s="377"/>
      <c r="J41" s="377"/>
      <c r="K41" s="377"/>
      <c r="L41" s="377"/>
      <c r="M41" s="2509"/>
      <c r="N41" s="376"/>
      <c r="O41" s="377"/>
      <c r="P41" s="377"/>
    </row>
    <row r="42" spans="1:17" ht="13.5">
      <c r="A42" s="2526">
        <f>'Part I-Project Identification'!A43</f>
        <v>0</v>
      </c>
      <c r="B42" s="2526"/>
      <c r="C42" s="2526"/>
      <c r="D42" s="2526"/>
      <c r="E42" s="2526"/>
      <c r="F42" s="2526"/>
      <c r="G42" s="2526"/>
      <c r="H42" s="2526"/>
      <c r="I42" s="2526"/>
      <c r="J42" s="2526"/>
      <c r="K42" s="2526"/>
      <c r="L42" s="2526"/>
      <c r="M42" s="2526"/>
      <c r="N42" s="2526"/>
      <c r="O42" s="2526"/>
      <c r="P42" s="2526"/>
    </row>
    <row r="45" spans="1:17">
      <c r="A45" s="2499" t="str">
        <f>CONCATENATE("PART TWO - SOURCES OF FUNDS (Proposed)","  -  ",'Part I-Project Identification'!$O$7," ",'Part I-Project Identification'!$F$26,", ",'Part I-Project Identification'!$F$27,", ",'Part I-Project Identification'!$J$27," County")</f>
        <v>PART TWO - SOURCES OF FUNDS (Proposed)  -  2024-0 Redland Trace, Lawrenceville, Gwinnett County</v>
      </c>
      <c r="B45" s="2499"/>
      <c r="C45" s="2499"/>
      <c r="D45" s="2499"/>
      <c r="E45" s="2499"/>
      <c r="F45" s="2499"/>
      <c r="G45" s="2499"/>
      <c r="H45" s="2499"/>
      <c r="I45" s="2499"/>
      <c r="J45" s="2499"/>
      <c r="K45" s="2499"/>
      <c r="L45" s="2499"/>
      <c r="M45" s="2499"/>
      <c r="N45" s="2499"/>
      <c r="O45" s="2499"/>
      <c r="P45" s="2499"/>
      <c r="Q45" s="2499"/>
    </row>
    <row r="46" spans="1:17" ht="13.5">
      <c r="A46" s="377"/>
      <c r="B46" s="377"/>
      <c r="C46" s="377"/>
      <c r="D46" s="377"/>
      <c r="E46" s="377"/>
      <c r="F46" s="377"/>
      <c r="G46" s="358"/>
      <c r="H46" s="358"/>
      <c r="I46" s="358"/>
      <c r="J46" s="358"/>
      <c r="K46" s="358"/>
      <c r="L46" s="358"/>
      <c r="M46" s="2472"/>
      <c r="N46" s="2472"/>
      <c r="O46" s="2472"/>
      <c r="P46" s="2472"/>
      <c r="Q46" s="2472"/>
    </row>
    <row r="47" spans="1:17" ht="16.5">
      <c r="A47" s="2499" t="s">
        <v>572</v>
      </c>
      <c r="B47" s="2499" t="s">
        <v>2288</v>
      </c>
      <c r="C47" s="1728"/>
      <c r="D47" s="1728"/>
      <c r="E47" s="1728"/>
      <c r="F47" s="1728"/>
      <c r="G47" s="1728"/>
      <c r="H47" s="2473"/>
      <c r="I47" s="2473"/>
      <c r="J47" s="2473"/>
      <c r="K47" s="2473"/>
      <c r="L47" s="2527" t="str">
        <f>'Part I-Project Identification'!$A$6</f>
        <v>2024 May 7</v>
      </c>
      <c r="M47" s="2527"/>
      <c r="N47" s="2527"/>
      <c r="O47" s="2527"/>
      <c r="P47" s="2527"/>
      <c r="Q47" s="2473"/>
    </row>
    <row r="48" spans="1:17" ht="13.5">
      <c r="A48" s="376"/>
      <c r="B48" s="2500"/>
      <c r="C48" s="376"/>
      <c r="D48" s="1728"/>
      <c r="E48" s="1728"/>
      <c r="F48" s="1728"/>
      <c r="G48" s="1728"/>
      <c r="H48" s="2473"/>
      <c r="I48" s="2473"/>
      <c r="J48" s="2473"/>
      <c r="K48" s="2473"/>
      <c r="L48" s="2473"/>
      <c r="M48" s="2473"/>
      <c r="N48" s="2473"/>
      <c r="O48" s="2473"/>
      <c r="P48" s="2473"/>
      <c r="Q48" s="2473"/>
    </row>
    <row r="49" spans="1:17" ht="13.5">
      <c r="A49" s="2500"/>
      <c r="B49" s="1533" t="str">
        <f>'Part II-Sources of Funds'!B6</f>
        <v>Yes</v>
      </c>
      <c r="C49" s="2503" t="s">
        <v>2213</v>
      </c>
      <c r="D49" s="1728"/>
      <c r="E49" s="1533">
        <f>'Part II-Sources of Funds'!E6</f>
        <v>0</v>
      </c>
      <c r="F49" s="2503" t="s">
        <v>3982</v>
      </c>
      <c r="G49" s="1728"/>
      <c r="H49" s="2473"/>
      <c r="I49" s="2528">
        <f>'Part II-Sources of Funds'!I6</f>
        <v>0</v>
      </c>
      <c r="J49" s="358"/>
      <c r="K49" s="2473"/>
      <c r="L49" s="1533">
        <f>'Part II-Sources of Funds'!L6</f>
        <v>0</v>
      </c>
      <c r="M49" s="2503" t="s">
        <v>1435</v>
      </c>
      <c r="N49" s="2473"/>
      <c r="O49" s="2473"/>
      <c r="P49" s="2473"/>
      <c r="Q49" s="2526"/>
    </row>
    <row r="50" spans="1:17" ht="13.5">
      <c r="A50" s="2500"/>
      <c r="B50" s="1533">
        <f>'Part II-Sources of Funds'!B7</f>
        <v>0</v>
      </c>
      <c r="C50" s="2503" t="s">
        <v>3754</v>
      </c>
      <c r="D50" s="1728"/>
      <c r="E50" s="1533">
        <f>'Part II-Sources of Funds'!E7</f>
        <v>0</v>
      </c>
      <c r="F50" s="2503" t="s">
        <v>3983</v>
      </c>
      <c r="G50" s="2473"/>
      <c r="H50" s="2473"/>
      <c r="I50" s="2528">
        <f>'Part II-Sources of Funds'!I7</f>
        <v>0</v>
      </c>
      <c r="J50" s="358"/>
      <c r="K50" s="2473"/>
      <c r="L50" s="1533">
        <f>'Part II-Sources of Funds'!L7</f>
        <v>0</v>
      </c>
      <c r="M50" s="2503" t="s">
        <v>513</v>
      </c>
      <c r="N50" s="2473"/>
      <c r="O50" s="2473"/>
      <c r="P50" s="2526"/>
      <c r="Q50" s="2526"/>
    </row>
    <row r="51" spans="1:17" ht="13.5">
      <c r="A51" s="1728"/>
      <c r="B51" s="1533">
        <f>'Part II-Sources of Funds'!B8</f>
        <v>0</v>
      </c>
      <c r="C51" s="2503" t="s">
        <v>4556</v>
      </c>
      <c r="D51" s="2473"/>
      <c r="E51" s="2473"/>
      <c r="F51" s="2473" t="s">
        <v>4558</v>
      </c>
      <c r="G51" s="2473"/>
      <c r="H51" s="2473" t="str">
        <f>'Part II-Sources of Funds'!H8</f>
        <v>Specify Other HOME Source here</v>
      </c>
      <c r="I51" s="2473"/>
      <c r="J51" s="2473"/>
      <c r="K51" s="2473"/>
      <c r="L51" s="1533">
        <f>'Part II-Sources of Funds'!L8</f>
        <v>0</v>
      </c>
      <c r="M51" s="2503" t="s">
        <v>4560</v>
      </c>
      <c r="N51" s="2473"/>
      <c r="O51" s="2473"/>
      <c r="P51" s="2526"/>
      <c r="Q51" s="2526"/>
    </row>
    <row r="52" spans="1:17" ht="13.5">
      <c r="A52" s="2500"/>
      <c r="B52" s="1533">
        <f>'Part II-Sources of Funds'!B9</f>
        <v>0</v>
      </c>
      <c r="C52" s="2473" t="s">
        <v>3218</v>
      </c>
      <c r="D52" s="2473"/>
      <c r="E52" s="1533">
        <f>'Part II-Sources of Funds'!E9</f>
        <v>0</v>
      </c>
      <c r="F52" s="2473" t="str">
        <f>'Part II-Sources of Funds'!F9</f>
        <v>Other Type of FEDERAL Funding * - describe type/program here</v>
      </c>
      <c r="G52" s="2473"/>
      <c r="H52" s="2473"/>
      <c r="I52" s="2473"/>
      <c r="J52" s="2473"/>
      <c r="K52" s="2473"/>
      <c r="L52" s="1533">
        <f>'Part II-Sources of Funds'!L9</f>
        <v>0</v>
      </c>
      <c r="M52" s="2503" t="s">
        <v>3755</v>
      </c>
      <c r="N52" s="2473"/>
      <c r="O52" s="2473"/>
      <c r="P52" s="2473"/>
      <c r="Q52" s="2526"/>
    </row>
    <row r="53" spans="1:17" ht="13.5">
      <c r="A53" s="2500"/>
      <c r="B53" s="1533">
        <f>'Part II-Sources of Funds'!B10</f>
        <v>0</v>
      </c>
      <c r="C53" s="2503" t="s">
        <v>2388</v>
      </c>
      <c r="D53" s="2473"/>
      <c r="E53" s="2473"/>
      <c r="F53" s="2473" t="str">
        <f>'Part II-Sources of Funds'!F10</f>
        <v>Specify Source/Administrator of Other FEDERAL Funding here</v>
      </c>
      <c r="G53" s="2473"/>
      <c r="H53" s="2473"/>
      <c r="I53" s="2473"/>
      <c r="J53" s="2473"/>
      <c r="K53" s="2473"/>
      <c r="L53" s="1533">
        <f>'Part II-Sources of Funds'!L10</f>
        <v>0</v>
      </c>
      <c r="M53" s="2503" t="s">
        <v>3108</v>
      </c>
      <c r="N53" s="2473"/>
      <c r="O53" s="2473"/>
      <c r="P53" s="2526"/>
      <c r="Q53" s="2526"/>
    </row>
    <row r="54" spans="1:17" ht="13.5">
      <c r="A54" s="2500"/>
      <c r="B54" s="1533">
        <f>'Part II-Sources of Funds'!B11</f>
        <v>0</v>
      </c>
      <c r="C54" s="2503" t="s">
        <v>2389</v>
      </c>
      <c r="D54" s="2473"/>
      <c r="E54" s="1533" t="str">
        <f>'Part II-Sources of Funds'!E11</f>
        <v>Yes</v>
      </c>
      <c r="F54" s="2473" t="str">
        <f>'Part II-Sources of Funds'!F11</f>
        <v>State and Local Fiscal Recovery Funds</v>
      </c>
      <c r="G54" s="2473"/>
      <c r="H54" s="2473"/>
      <c r="I54" s="2473"/>
      <c r="J54" s="2473"/>
      <c r="K54" s="2473"/>
      <c r="L54" s="1533">
        <f>'Part II-Sources of Funds'!L11</f>
        <v>0</v>
      </c>
      <c r="M54" s="2473" t="s">
        <v>2392</v>
      </c>
      <c r="N54" s="2473"/>
      <c r="O54" s="2473"/>
      <c r="P54" s="2473"/>
      <c r="Q54" s="2473"/>
    </row>
    <row r="55" spans="1:17" ht="13.5">
      <c r="A55" s="2500"/>
      <c r="B55" s="1533">
        <f>'Part II-Sources of Funds'!B12</f>
        <v>0</v>
      </c>
      <c r="C55" s="2503" t="s">
        <v>3109</v>
      </c>
      <c r="D55" s="2473"/>
      <c r="E55" s="2473"/>
      <c r="F55" s="2473" t="str">
        <f>'Part II-Sources of Funds'!F12</f>
        <v>Gwinnett County</v>
      </c>
      <c r="G55" s="2473"/>
      <c r="H55" s="2473"/>
      <c r="I55" s="2473"/>
      <c r="J55" s="2473"/>
      <c r="K55" s="2473"/>
      <c r="L55" s="1533">
        <f>'Part II-Sources of Funds'!L12</f>
        <v>0</v>
      </c>
      <c r="M55" s="2473" t="s">
        <v>3135</v>
      </c>
      <c r="N55" s="2473"/>
      <c r="O55" s="2473"/>
      <c r="P55" s="2473"/>
      <c r="Q55" s="2473"/>
    </row>
    <row r="56" spans="1:17" ht="13.5">
      <c r="A56" s="2500"/>
      <c r="B56" s="1533">
        <f>'Part II-Sources of Funds'!B13</f>
        <v>0</v>
      </c>
      <c r="C56" s="2503" t="s">
        <v>4557</v>
      </c>
      <c r="D56" s="2473"/>
      <c r="E56" s="1533">
        <f>'Part II-Sources of Funds'!E13</f>
        <v>0</v>
      </c>
      <c r="F56" s="2503" t="s">
        <v>4559</v>
      </c>
      <c r="G56" s="2473"/>
      <c r="H56" s="2473" t="str">
        <f>'Part II-Sources of Funds'!H13</f>
        <v>Specify Other PBRA Source here</v>
      </c>
      <c r="I56" s="2473"/>
      <c r="J56" s="2473"/>
      <c r="K56" s="2473"/>
      <c r="L56" s="1533">
        <f>'Part II-Sources of Funds'!L13</f>
        <v>0</v>
      </c>
      <c r="M56" s="2473" t="s">
        <v>3981</v>
      </c>
      <c r="N56" s="2473"/>
      <c r="O56" s="2473"/>
      <c r="P56" s="2473"/>
      <c r="Q56" s="2473"/>
    </row>
    <row r="57" spans="1:17" ht="13.5">
      <c r="A57" s="2500"/>
      <c r="B57" s="1533">
        <f>'Part II-Sources of Funds'!B14</f>
        <v>0</v>
      </c>
      <c r="C57" s="2473" t="s">
        <v>2391</v>
      </c>
      <c r="D57" s="2473"/>
      <c r="E57" s="1533">
        <f>'Part II-Sources of Funds'!E14</f>
        <v>0</v>
      </c>
      <c r="F57" s="2503" t="s">
        <v>3217</v>
      </c>
      <c r="G57" s="2473"/>
      <c r="H57" s="2473"/>
      <c r="I57" s="2473"/>
      <c r="J57" s="2473"/>
      <c r="K57" s="2473"/>
      <c r="L57" s="1533">
        <f>'Part II-Sources of Funds'!L14</f>
        <v>0</v>
      </c>
      <c r="M57" s="2473" t="s">
        <v>4605</v>
      </c>
      <c r="N57" s="2473"/>
      <c r="O57" s="2473"/>
      <c r="P57" s="2473"/>
      <c r="Q57" s="2473"/>
    </row>
    <row r="58" spans="1:17" ht="13.5">
      <c r="A58" s="2500"/>
      <c r="B58" s="1533">
        <f>'Part II-Sources of Funds'!B15</f>
        <v>0</v>
      </c>
      <c r="C58" s="2473" t="s">
        <v>3134</v>
      </c>
      <c r="D58" s="2473"/>
      <c r="E58" s="1533">
        <f>'Part II-Sources of Funds'!E15</f>
        <v>0</v>
      </c>
      <c r="F58" s="2503" t="s">
        <v>3984</v>
      </c>
      <c r="G58" s="2473"/>
      <c r="H58" s="2473"/>
      <c r="I58" s="2473"/>
      <c r="J58" s="2473"/>
      <c r="K58" s="2473"/>
      <c r="L58" s="1533">
        <f>'Part II-Sources of Funds'!L15</f>
        <v>0</v>
      </c>
      <c r="M58" s="2526" t="s">
        <v>3985</v>
      </c>
      <c r="N58" s="2473"/>
      <c r="O58" s="2473"/>
      <c r="P58" s="2473"/>
      <c r="Q58" s="2473"/>
    </row>
    <row r="59" spans="1:17" ht="13.5">
      <c r="A59" s="2500"/>
      <c r="B59" s="1533">
        <f>'Part II-Sources of Funds'!B16</f>
        <v>0</v>
      </c>
      <c r="C59" s="2503" t="s">
        <v>1668</v>
      </c>
      <c r="D59" s="2473"/>
      <c r="E59" s="1533">
        <f>'Part II-Sources of Funds'!E16</f>
        <v>0</v>
      </c>
      <c r="F59" s="2503" t="s">
        <v>4398</v>
      </c>
      <c r="G59" s="2473"/>
      <c r="H59" s="2473"/>
      <c r="I59" s="2528">
        <f>'Part II-Sources of Funds'!I16</f>
        <v>0</v>
      </c>
      <c r="J59" s="358"/>
      <c r="K59" s="2473"/>
      <c r="L59" s="1533">
        <f>'Part II-Sources of Funds'!L16</f>
        <v>0</v>
      </c>
      <c r="M59" s="2526" t="s">
        <v>3980</v>
      </c>
      <c r="N59" s="2473"/>
      <c r="O59" s="2473"/>
      <c r="P59" s="2473"/>
      <c r="Q59" s="2473"/>
    </row>
    <row r="60" spans="1:17" ht="13.5">
      <c r="A60" s="2500"/>
      <c r="B60" s="2473" t="s">
        <v>3756</v>
      </c>
      <c r="C60" s="1728"/>
      <c r="D60" s="1728"/>
      <c r="E60" s="1728"/>
      <c r="F60" s="1728"/>
      <c r="G60" s="1728"/>
      <c r="H60" s="1728"/>
      <c r="I60" s="1728"/>
      <c r="J60" s="1728"/>
      <c r="K60" s="1728"/>
      <c r="L60" s="1728"/>
      <c r="M60" s="2472"/>
      <c r="N60" s="1728"/>
      <c r="O60" s="1728"/>
      <c r="P60" s="1728"/>
      <c r="Q60" s="1728"/>
    </row>
    <row r="61" spans="1:17" ht="13.5">
      <c r="A61" s="2500"/>
      <c r="B61" s="2473"/>
      <c r="C61" s="2473"/>
      <c r="D61" s="2473"/>
      <c r="E61" s="2473"/>
      <c r="F61" s="2473"/>
      <c r="G61" s="2473"/>
      <c r="H61" s="2473"/>
      <c r="I61" s="2473"/>
      <c r="J61" s="2473"/>
      <c r="K61" s="2473"/>
      <c r="L61" s="1728"/>
      <c r="M61" s="377"/>
      <c r="N61" s="1728"/>
      <c r="O61" s="1728"/>
      <c r="P61" s="1728"/>
      <c r="Q61" s="1728"/>
    </row>
    <row r="62" spans="1:17" ht="13.5">
      <c r="A62" s="2499" t="s">
        <v>688</v>
      </c>
      <c r="B62" s="2509" t="s">
        <v>2159</v>
      </c>
      <c r="C62" s="1728"/>
      <c r="D62" s="1728"/>
      <c r="E62" s="1728"/>
      <c r="F62" s="1728"/>
      <c r="G62" s="1728"/>
      <c r="H62" s="2474"/>
      <c r="I62" s="2474"/>
      <c r="J62" s="2474"/>
      <c r="K62" s="2474"/>
      <c r="L62" s="1728"/>
      <c r="M62" s="1728"/>
      <c r="N62" s="1728"/>
      <c r="O62" s="1728"/>
      <c r="P62" s="1728"/>
      <c r="Q62" s="1728"/>
    </row>
    <row r="63" spans="1:17" ht="13.5">
      <c r="A63" s="2499"/>
      <c r="B63" s="2509"/>
      <c r="C63" s="1728"/>
      <c r="D63" s="2474"/>
      <c r="E63" s="2474"/>
      <c r="F63" s="2474"/>
      <c r="G63" s="2474"/>
      <c r="H63" s="2474"/>
      <c r="I63" s="2474"/>
      <c r="J63" s="2474"/>
      <c r="K63" s="1728"/>
      <c r="L63" s="1728"/>
      <c r="M63" s="1728"/>
      <c r="N63" s="1533"/>
      <c r="O63" s="1533"/>
      <c r="P63" s="1728"/>
      <c r="Q63" s="1728"/>
    </row>
    <row r="64" spans="1:17">
      <c r="A64" s="1728"/>
      <c r="B64" s="2506" t="s">
        <v>1729</v>
      </c>
      <c r="C64" s="1728"/>
      <c r="D64" s="1728"/>
      <c r="E64" s="1728"/>
      <c r="F64" s="1728"/>
      <c r="G64" s="1728"/>
      <c r="H64" s="1728" t="s">
        <v>1218</v>
      </c>
      <c r="I64" s="1728"/>
      <c r="J64" s="1728"/>
      <c r="K64" s="1728"/>
      <c r="L64" s="1728" t="s">
        <v>3722</v>
      </c>
      <c r="M64" s="1728"/>
      <c r="N64" s="1728" t="s">
        <v>1408</v>
      </c>
      <c r="O64" s="1728"/>
      <c r="P64" s="1728" t="s">
        <v>1521</v>
      </c>
      <c r="Q64" s="1728"/>
    </row>
    <row r="65" spans="1:17">
      <c r="A65" s="1728"/>
      <c r="B65" s="1728" t="s">
        <v>1484</v>
      </c>
      <c r="C65" s="1728"/>
      <c r="D65" s="1728"/>
      <c r="E65" s="1728"/>
      <c r="F65" s="1728"/>
      <c r="G65" s="1728"/>
      <c r="H65" s="1728" t="str">
        <f>'Part II-Sources of Funds'!H22</f>
        <v>Truist Community Capital</v>
      </c>
      <c r="I65" s="1728"/>
      <c r="J65" s="1728"/>
      <c r="K65" s="1728"/>
      <c r="L65" s="2529">
        <f>'Part II-Sources of Funds'!L22</f>
        <v>20000000</v>
      </c>
      <c r="M65" s="2529"/>
      <c r="N65" s="2530">
        <f>'Part II-Sources of Funds'!N22</f>
        <v>8.0799999999999997E-2</v>
      </c>
      <c r="O65" s="2530"/>
      <c r="P65" s="2531">
        <f>'Part II-Sources of Funds'!P22</f>
        <v>28</v>
      </c>
      <c r="Q65" s="2531"/>
    </row>
    <row r="66" spans="1:17">
      <c r="A66" s="1728"/>
      <c r="B66" s="1728" t="s">
        <v>1485</v>
      </c>
      <c r="C66" s="1728"/>
      <c r="D66" s="1728"/>
      <c r="E66" s="1728"/>
      <c r="F66" s="1728"/>
      <c r="G66" s="1728"/>
      <c r="H66" s="1728" t="str">
        <f>'Part II-Sources of Funds'!H23</f>
        <v>Gwinnett SFLRF</v>
      </c>
      <c r="I66" s="1728"/>
      <c r="J66" s="1728"/>
      <c r="K66" s="1728"/>
      <c r="L66" s="2529">
        <f>'Part II-Sources of Funds'!L23</f>
        <v>1594810</v>
      </c>
      <c r="M66" s="2529"/>
      <c r="N66" s="2530">
        <f>'Part II-Sources of Funds'!N23</f>
        <v>1.4999999999999999E-2</v>
      </c>
      <c r="O66" s="2530"/>
      <c r="P66" s="2531">
        <f>'Part II-Sources of Funds'!P23</f>
        <v>36</v>
      </c>
      <c r="Q66" s="2531"/>
    </row>
    <row r="67" spans="1:17">
      <c r="A67" s="1728"/>
      <c r="B67" s="1728" t="s">
        <v>1486</v>
      </c>
      <c r="C67" s="1728"/>
      <c r="D67" s="1728"/>
      <c r="E67" s="1728"/>
      <c r="F67" s="1728"/>
      <c r="G67" s="1728"/>
      <c r="H67" s="1728">
        <f>'Part II-Sources of Funds'!H24</f>
        <v>0</v>
      </c>
      <c r="I67" s="1728"/>
      <c r="J67" s="1728"/>
      <c r="K67" s="1728"/>
      <c r="L67" s="2529">
        <f>'Part II-Sources of Funds'!L24</f>
        <v>0</v>
      </c>
      <c r="M67" s="2529"/>
      <c r="N67" s="2530">
        <f>'Part II-Sources of Funds'!N24</f>
        <v>0</v>
      </c>
      <c r="O67" s="2530"/>
      <c r="P67" s="2531">
        <f>'Part II-Sources of Funds'!P24</f>
        <v>0</v>
      </c>
      <c r="Q67" s="2531"/>
    </row>
    <row r="68" spans="1:17">
      <c r="A68" s="1728"/>
      <c r="B68" s="1728" t="s">
        <v>2042</v>
      </c>
      <c r="C68" s="1728"/>
      <c r="D68" s="1728"/>
      <c r="E68" s="1728"/>
      <c r="F68" s="1728"/>
      <c r="G68" s="1728"/>
      <c r="H68" s="1728">
        <f>'Part II-Sources of Funds'!H25</f>
        <v>0</v>
      </c>
      <c r="I68" s="1728"/>
      <c r="J68" s="1728"/>
      <c r="K68" s="1728"/>
      <c r="L68" s="2529">
        <f>'Part II-Sources of Funds'!L25</f>
        <v>0</v>
      </c>
      <c r="M68" s="2529"/>
      <c r="N68" s="2530"/>
      <c r="O68" s="2530"/>
      <c r="P68" s="1728"/>
      <c r="Q68" s="1728"/>
    </row>
    <row r="69" spans="1:17" ht="13.5">
      <c r="A69" s="1728"/>
      <c r="B69" s="1728" t="s">
        <v>744</v>
      </c>
      <c r="C69" s="1728"/>
      <c r="D69" s="1728"/>
      <c r="E69" s="1728"/>
      <c r="F69" s="2473"/>
      <c r="G69" s="2473"/>
      <c r="H69" s="1728">
        <f>'Part II-Sources of Funds'!H26</f>
        <v>0</v>
      </c>
      <c r="I69" s="1728"/>
      <c r="J69" s="1728"/>
      <c r="K69" s="1728"/>
      <c r="L69" s="2529">
        <f>'Part II-Sources of Funds'!L26</f>
        <v>0</v>
      </c>
      <c r="M69" s="2529"/>
      <c r="N69" s="2530"/>
      <c r="O69" s="2530"/>
      <c r="P69" s="1728"/>
      <c r="Q69" s="1728"/>
    </row>
    <row r="70" spans="1:17" ht="13.5">
      <c r="A70" s="1728"/>
      <c r="B70" s="1728" t="s">
        <v>594</v>
      </c>
      <c r="C70" s="1728"/>
      <c r="D70" s="1728"/>
      <c r="E70" s="1728"/>
      <c r="F70" s="2473"/>
      <c r="G70" s="2473"/>
      <c r="H70" s="1728">
        <f>'Part II-Sources of Funds'!H27</f>
        <v>0</v>
      </c>
      <c r="I70" s="1728"/>
      <c r="J70" s="1728"/>
      <c r="K70" s="1728"/>
      <c r="L70" s="2529">
        <f>'Part II-Sources of Funds'!L27</f>
        <v>0</v>
      </c>
      <c r="M70" s="2529"/>
      <c r="N70" s="2530"/>
      <c r="O70" s="2530"/>
      <c r="P70" s="1728"/>
      <c r="Q70" s="1728"/>
    </row>
    <row r="71" spans="1:17" ht="13.5">
      <c r="A71" s="1728"/>
      <c r="B71" s="1728" t="s">
        <v>745</v>
      </c>
      <c r="C71" s="1728"/>
      <c r="D71" s="1728"/>
      <c r="E71" s="1728"/>
      <c r="F71" s="2473"/>
      <c r="G71" s="2473"/>
      <c r="H71" s="1728" t="str">
        <f>'Part II-Sources of Funds'!H28</f>
        <v>Truist Community Capital</v>
      </c>
      <c r="I71" s="1728"/>
      <c r="J71" s="1728"/>
      <c r="K71" s="1728"/>
      <c r="L71" s="2529">
        <f>'Part II-Sources of Funds'!L28</f>
        <v>1844184</v>
      </c>
      <c r="M71" s="2529"/>
      <c r="N71" s="1728"/>
      <c r="O71" s="2473"/>
      <c r="P71" s="2473"/>
      <c r="Q71" s="1728"/>
    </row>
    <row r="72" spans="1:17" ht="13.5">
      <c r="A72" s="1728"/>
      <c r="B72" s="1728" t="s">
        <v>746</v>
      </c>
      <c r="C72" s="1728"/>
      <c r="D72" s="1728"/>
      <c r="E72" s="1728"/>
      <c r="F72" s="2473"/>
      <c r="G72" s="2473"/>
      <c r="H72" s="1728" t="str">
        <f>'Part II-Sources of Funds'!H29</f>
        <v>Truist Community Capital</v>
      </c>
      <c r="I72" s="1728"/>
      <c r="J72" s="1728"/>
      <c r="K72" s="1728"/>
      <c r="L72" s="2529">
        <f>'Part II-Sources of Funds'!L29</f>
        <v>1152630</v>
      </c>
      <c r="M72" s="2529"/>
      <c r="N72" s="1728"/>
      <c r="O72" s="2473"/>
      <c r="P72" s="2473"/>
      <c r="Q72" s="1728"/>
    </row>
    <row r="73" spans="1:17" ht="13.5">
      <c r="A73" s="1728"/>
      <c r="B73" s="1728" t="s">
        <v>232</v>
      </c>
      <c r="C73" s="1728"/>
      <c r="D73" s="1728">
        <f>'Part II-Sources of Funds'!D30</f>
        <v>0</v>
      </c>
      <c r="E73" s="1728"/>
      <c r="F73" s="1728"/>
      <c r="G73" s="1728"/>
      <c r="H73" s="1728">
        <f>'Part II-Sources of Funds'!H30</f>
        <v>0</v>
      </c>
      <c r="I73" s="1728"/>
      <c r="J73" s="1728"/>
      <c r="K73" s="1728"/>
      <c r="L73" s="2529">
        <f>'Part II-Sources of Funds'!L30</f>
        <v>0</v>
      </c>
      <c r="M73" s="2529"/>
      <c r="N73" s="1728"/>
      <c r="O73" s="2473"/>
      <c r="P73" s="2473"/>
      <c r="Q73" s="1728"/>
    </row>
    <row r="74" spans="1:17" ht="13.5">
      <c r="A74" s="1728"/>
      <c r="B74" s="1728" t="s">
        <v>232</v>
      </c>
      <c r="C74" s="1728"/>
      <c r="D74" s="1728">
        <f>'Part II-Sources of Funds'!D31</f>
        <v>0</v>
      </c>
      <c r="E74" s="1728"/>
      <c r="F74" s="1728"/>
      <c r="G74" s="1728"/>
      <c r="H74" s="1728">
        <f>'Part II-Sources of Funds'!H31</f>
        <v>0</v>
      </c>
      <c r="I74" s="1728"/>
      <c r="J74" s="1728"/>
      <c r="K74" s="1728"/>
      <c r="L74" s="2529">
        <f>'Part II-Sources of Funds'!L31</f>
        <v>0</v>
      </c>
      <c r="M74" s="2529"/>
      <c r="N74" s="1728"/>
      <c r="O74" s="2473"/>
      <c r="P74" s="2473"/>
      <c r="Q74" s="2473"/>
    </row>
    <row r="75" spans="1:17" ht="13.5">
      <c r="A75" s="1728"/>
      <c r="B75" s="1728" t="s">
        <v>232</v>
      </c>
      <c r="C75" s="1728"/>
      <c r="D75" s="1728">
        <f>'Part II-Sources of Funds'!D32</f>
        <v>0</v>
      </c>
      <c r="E75" s="1728"/>
      <c r="F75" s="1728"/>
      <c r="G75" s="1728"/>
      <c r="H75" s="1728">
        <f>'Part II-Sources of Funds'!H32</f>
        <v>0</v>
      </c>
      <c r="I75" s="1728"/>
      <c r="J75" s="1728"/>
      <c r="K75" s="1728"/>
      <c r="L75" s="2529">
        <f>'Part II-Sources of Funds'!L32</f>
        <v>0</v>
      </c>
      <c r="M75" s="2529"/>
      <c r="N75" s="1728"/>
      <c r="O75" s="2473"/>
      <c r="P75" s="2473"/>
      <c r="Q75" s="2473"/>
    </row>
    <row r="76" spans="1:17" ht="13.5">
      <c r="A76" s="1728"/>
      <c r="B76" s="2509" t="s">
        <v>1219</v>
      </c>
      <c r="C76" s="1728"/>
      <c r="D76" s="1728"/>
      <c r="E76" s="1728"/>
      <c r="F76" s="1728"/>
      <c r="G76" s="1728"/>
      <c r="H76" s="1728"/>
      <c r="I76" s="1728"/>
      <c r="J76" s="2473"/>
      <c r="K76" s="2473"/>
      <c r="L76" s="2532">
        <f>SUM(L65:L75)</f>
        <v>24591624</v>
      </c>
      <c r="M76" s="2532"/>
      <c r="N76" s="377"/>
      <c r="O76" s="2473"/>
      <c r="P76" s="2473"/>
      <c r="Q76" s="2473"/>
    </row>
    <row r="77" spans="1:17" ht="13.5">
      <c r="A77" s="1728"/>
      <c r="B77" s="2506" t="s">
        <v>1220</v>
      </c>
      <c r="C77" s="1728"/>
      <c r="D77" s="1728"/>
      <c r="E77" s="1728"/>
      <c r="F77" s="1728"/>
      <c r="G77" s="1728"/>
      <c r="H77" s="1728"/>
      <c r="I77" s="1728"/>
      <c r="J77" s="2473"/>
      <c r="K77" s="2473"/>
      <c r="L77" s="2532">
        <f>'Part II-Sources of Funds'!L34</f>
        <v>24564640</v>
      </c>
      <c r="M77" s="2532"/>
      <c r="N77" s="377"/>
      <c r="O77" s="2473"/>
      <c r="P77" s="2473"/>
      <c r="Q77" s="2473"/>
    </row>
    <row r="78" spans="1:17" ht="13.5">
      <c r="A78" s="1728"/>
      <c r="B78" s="2506" t="s">
        <v>1997</v>
      </c>
      <c r="C78" s="1728"/>
      <c r="D78" s="1728"/>
      <c r="E78" s="1728"/>
      <c r="F78" s="1728"/>
      <c r="G78" s="1728"/>
      <c r="H78" s="1728"/>
      <c r="I78" s="1728"/>
      <c r="J78" s="2473"/>
      <c r="K78" s="2473"/>
      <c r="L78" s="2533">
        <f>L76-L77</f>
        <v>26984</v>
      </c>
      <c r="M78" s="2533"/>
      <c r="N78" s="377"/>
      <c r="O78" s="2473"/>
      <c r="P78" s="2473"/>
      <c r="Q78" s="2473"/>
    </row>
    <row r="79" spans="1:17" ht="13.5">
      <c r="A79" s="376"/>
      <c r="B79" s="2509"/>
      <c r="C79" s="377"/>
      <c r="D79" s="377"/>
      <c r="E79" s="377"/>
      <c r="F79" s="377"/>
      <c r="G79" s="377"/>
      <c r="H79" s="377"/>
      <c r="I79" s="377"/>
      <c r="J79" s="377"/>
      <c r="K79" s="377"/>
      <c r="L79" s="377"/>
      <c r="M79" s="1533"/>
      <c r="N79" s="1533"/>
      <c r="O79" s="2472"/>
      <c r="P79" s="2472"/>
      <c r="Q79" s="2472"/>
    </row>
    <row r="80" spans="1:17" ht="13.5">
      <c r="A80" s="2499" t="s">
        <v>690</v>
      </c>
      <c r="B80" s="2509" t="s">
        <v>743</v>
      </c>
      <c r="C80" s="377"/>
      <c r="D80" s="377"/>
      <c r="E80" s="377"/>
      <c r="F80" s="377"/>
      <c r="G80" s="377"/>
      <c r="H80" s="377"/>
      <c r="I80" s="377"/>
      <c r="J80" s="377"/>
      <c r="K80" s="377"/>
      <c r="L80" s="377"/>
      <c r="M80" s="1533"/>
      <c r="N80" s="1533"/>
      <c r="O80" s="377"/>
      <c r="P80" s="2472"/>
      <c r="Q80" s="2472"/>
    </row>
    <row r="81" spans="1:17" ht="12.95" customHeight="1">
      <c r="A81" s="1728"/>
      <c r="B81" s="1728"/>
      <c r="C81" s="1728"/>
      <c r="D81" s="1728"/>
      <c r="E81" s="1728"/>
      <c r="F81" s="1533"/>
      <c r="G81" s="1533"/>
      <c r="H81" s="1728"/>
      <c r="I81" s="1728"/>
      <c r="J81" s="2473"/>
      <c r="K81" s="1592" t="s">
        <v>1943</v>
      </c>
      <c r="L81" s="1533" t="s">
        <v>1216</v>
      </c>
      <c r="M81" s="1533" t="s">
        <v>1221</v>
      </c>
      <c r="N81" s="2473"/>
      <c r="O81" s="2473"/>
      <c r="P81" s="377" t="s">
        <v>31</v>
      </c>
      <c r="Q81" s="377"/>
    </row>
    <row r="82" spans="1:17">
      <c r="A82" s="1728"/>
      <c r="B82" s="2506" t="s">
        <v>1729</v>
      </c>
      <c r="C82" s="1728"/>
      <c r="D82" s="1728"/>
      <c r="E82" s="1728" t="s">
        <v>1218</v>
      </c>
      <c r="F82" s="1728"/>
      <c r="G82" s="1728"/>
      <c r="H82" s="1728"/>
      <c r="I82" s="1728" t="s">
        <v>3721</v>
      </c>
      <c r="J82" s="1728"/>
      <c r="K82" s="1533" t="s">
        <v>1670</v>
      </c>
      <c r="L82" s="1533" t="s">
        <v>2041</v>
      </c>
      <c r="M82" s="1533" t="s">
        <v>2041</v>
      </c>
      <c r="N82" s="1728" t="s">
        <v>69</v>
      </c>
      <c r="O82" s="1728"/>
      <c r="P82" s="377"/>
      <c r="Q82" s="377"/>
    </row>
    <row r="83" spans="1:17">
      <c r="A83" s="1728"/>
      <c r="B83" s="1728" t="s">
        <v>2396</v>
      </c>
      <c r="C83" s="1728"/>
      <c r="D83" s="1728"/>
      <c r="E83" s="1728" t="str">
        <f>'Part II-Sources of Funds'!E40</f>
        <v>Specialty Finance Group</v>
      </c>
      <c r="F83" s="1728"/>
      <c r="G83" s="1728"/>
      <c r="H83" s="1728"/>
      <c r="I83" s="2534">
        <f>'Part II-Sources of Funds'!I40</f>
        <v>5200000</v>
      </c>
      <c r="J83" s="1728"/>
      <c r="K83" s="2535">
        <f>'Part II-Sources of Funds'!K40</f>
        <v>7.4200000000000002E-2</v>
      </c>
      <c r="L83" s="1533">
        <f>'Part II-Sources of Funds'!L40</f>
        <v>16</v>
      </c>
      <c r="M83" s="1533">
        <f>'Part II-Sources of Funds'!M40</f>
        <v>40</v>
      </c>
      <c r="N83" s="1728" t="str">
        <f>'Part II-Sources of Funds'!N40</f>
        <v>Amortizing</v>
      </c>
      <c r="O83" s="1728"/>
      <c r="P83" s="2536">
        <f>'Part II-Sources of Funds'!P40</f>
        <v>406951.82316822727</v>
      </c>
      <c r="Q83" s="2536"/>
    </row>
    <row r="84" spans="1:17">
      <c r="A84" s="1728"/>
      <c r="B84" s="1728" t="s">
        <v>2397</v>
      </c>
      <c r="C84" s="1728"/>
      <c r="D84" s="1728"/>
      <c r="E84" s="1728" t="str">
        <f>'Part II-Sources of Funds'!E41</f>
        <v>Gwinnett SFLRF</v>
      </c>
      <c r="F84" s="1728"/>
      <c r="G84" s="1728"/>
      <c r="H84" s="1728"/>
      <c r="I84" s="2534">
        <f>'Part II-Sources of Funds'!I41</f>
        <v>1594810</v>
      </c>
      <c r="J84" s="1728"/>
      <c r="K84" s="2535">
        <f>'Part II-Sources of Funds'!K41</f>
        <v>1.4999999999999999E-2</v>
      </c>
      <c r="L84" s="1533">
        <f>'Part II-Sources of Funds'!L41</f>
        <v>32</v>
      </c>
      <c r="M84" s="1533">
        <f>'Part II-Sources of Funds'!M41</f>
        <v>0</v>
      </c>
      <c r="N84" s="1728" t="str">
        <f>'Part II-Sources of Funds'!N41</f>
        <v>Cash Flow</v>
      </c>
      <c r="O84" s="1728"/>
      <c r="P84" s="2536">
        <f>'Part II-Sources of Funds'!P41</f>
        <v>0</v>
      </c>
      <c r="Q84" s="2536"/>
    </row>
    <row r="85" spans="1:17">
      <c r="A85" s="1728"/>
      <c r="B85" s="1728" t="s">
        <v>2398</v>
      </c>
      <c r="C85" s="1728"/>
      <c r="D85" s="1728"/>
      <c r="E85" s="1728">
        <f>'Part II-Sources of Funds'!E42</f>
        <v>0</v>
      </c>
      <c r="F85" s="1728"/>
      <c r="G85" s="1728"/>
      <c r="H85" s="1728"/>
      <c r="I85" s="2534">
        <f>'Part II-Sources of Funds'!I42</f>
        <v>0</v>
      </c>
      <c r="J85" s="1728"/>
      <c r="K85" s="2535">
        <f>'Part II-Sources of Funds'!K42</f>
        <v>0</v>
      </c>
      <c r="L85" s="1533">
        <f>'Part II-Sources of Funds'!L42</f>
        <v>0</v>
      </c>
      <c r="M85" s="1533">
        <f>'Part II-Sources of Funds'!M42</f>
        <v>0</v>
      </c>
      <c r="N85" s="1728">
        <f>'Part II-Sources of Funds'!N42</f>
        <v>0</v>
      </c>
      <c r="O85" s="1728"/>
      <c r="P85" s="2536" t="str">
        <f>'Part II-Sources of Funds'!P42</f>
        <v/>
      </c>
      <c r="Q85" s="2536"/>
    </row>
    <row r="86" spans="1:17">
      <c r="A86" s="1728"/>
      <c r="B86" s="1728" t="s">
        <v>689</v>
      </c>
      <c r="C86" s="1728">
        <f>'Part II-Sources of Funds'!C43</f>
        <v>0</v>
      </c>
      <c r="D86" s="1728"/>
      <c r="E86" s="1728">
        <f>'Part II-Sources of Funds'!E43</f>
        <v>0</v>
      </c>
      <c r="F86" s="1728"/>
      <c r="G86" s="1728"/>
      <c r="H86" s="1728"/>
      <c r="I86" s="2534">
        <f>'Part II-Sources of Funds'!I43</f>
        <v>0</v>
      </c>
      <c r="J86" s="1728"/>
      <c r="K86" s="2535">
        <f>'Part II-Sources of Funds'!K43</f>
        <v>0</v>
      </c>
      <c r="L86" s="1533">
        <f>'Part II-Sources of Funds'!L43</f>
        <v>0</v>
      </c>
      <c r="M86" s="1533">
        <f>'Part II-Sources of Funds'!M43</f>
        <v>0</v>
      </c>
      <c r="N86" s="1728">
        <f>'Part II-Sources of Funds'!N43</f>
        <v>0</v>
      </c>
      <c r="O86" s="1728"/>
      <c r="P86" s="2536" t="str">
        <f>'Part II-Sources of Funds'!P43</f>
        <v/>
      </c>
      <c r="Q86" s="2536"/>
    </row>
    <row r="87" spans="1:17">
      <c r="A87" s="1728"/>
      <c r="B87" s="1728" t="s">
        <v>3820</v>
      </c>
      <c r="C87" s="1728"/>
      <c r="D87" s="1728"/>
      <c r="E87" s="1728">
        <f>'Part II-Sources of Funds'!E44</f>
        <v>0</v>
      </c>
      <c r="F87" s="1728"/>
      <c r="G87" s="1728"/>
      <c r="H87" s="1728"/>
      <c r="I87" s="2534">
        <f>'Part II-Sources of Funds'!I44</f>
        <v>0</v>
      </c>
      <c r="J87" s="1728"/>
      <c r="K87" s="2535"/>
      <c r="L87" s="1533"/>
      <c r="M87" s="1533"/>
      <c r="N87" s="1728"/>
      <c r="O87" s="1728"/>
      <c r="P87" s="2536"/>
      <c r="Q87" s="2536"/>
    </row>
    <row r="88" spans="1:17">
      <c r="A88" s="1728"/>
      <c r="B88" s="1728" t="s">
        <v>220</v>
      </c>
      <c r="C88" s="1728"/>
      <c r="D88" s="2537">
        <f>'Part II-Sources of Funds'!D45</f>
        <v>0.14220808080808081</v>
      </c>
      <c r="E88" s="1728" t="str">
        <f>'Part II-Sources of Funds'!E45</f>
        <v>Zimmerman Properties SE, LLC</v>
      </c>
      <c r="F88" s="1728"/>
      <c r="G88" s="1728"/>
      <c r="H88" s="1728"/>
      <c r="I88" s="2534">
        <f>'Part II-Sources of Funds'!I45</f>
        <v>281572</v>
      </c>
      <c r="J88" s="1728"/>
      <c r="K88" s="2535">
        <f>'Part II-Sources of Funds'!K45</f>
        <v>0</v>
      </c>
      <c r="L88" s="1533">
        <f>'Part II-Sources of Funds'!L45</f>
        <v>13</v>
      </c>
      <c r="M88" s="1533">
        <f>'Part II-Sources of Funds'!M45</f>
        <v>0</v>
      </c>
      <c r="N88" s="1728" t="str">
        <f>'Part II-Sources of Funds'!N45</f>
        <v>Cash Flow</v>
      </c>
      <c r="O88" s="1728"/>
      <c r="P88" s="2536">
        <f>'Part II-Sources of Funds'!P45</f>
        <v>0</v>
      </c>
      <c r="Q88" s="2536"/>
    </row>
    <row r="89" spans="1:17" ht="13.5">
      <c r="A89" s="1728"/>
      <c r="B89" s="1728"/>
      <c r="C89" s="1728"/>
      <c r="D89" s="1728"/>
      <c r="E89" s="1728"/>
      <c r="F89" s="1728"/>
      <c r="G89" s="1728"/>
      <c r="H89" s="1728"/>
      <c r="I89" s="2538"/>
      <c r="J89" s="2539"/>
      <c r="K89" s="2535"/>
      <c r="L89" s="1533"/>
      <c r="M89" s="1533"/>
      <c r="N89" s="2540"/>
      <c r="O89" s="2540"/>
      <c r="P89" s="1533"/>
      <c r="Q89" s="1533"/>
    </row>
    <row r="90" spans="1:17" ht="13.5">
      <c r="A90" s="1728"/>
      <c r="B90" s="2473" t="s">
        <v>3319</v>
      </c>
      <c r="C90" s="1728"/>
      <c r="D90" s="2473"/>
      <c r="E90" s="2473" t="s">
        <v>3277</v>
      </c>
      <c r="F90" s="2541">
        <f>'Part II-Sources of Funds'!F47</f>
        <v>1130843.0670736544</v>
      </c>
      <c r="G90" s="2473"/>
      <c r="H90" s="2542" t="s">
        <v>3318</v>
      </c>
      <c r="I90" s="2541">
        <f>'Part II-Sources of Funds'!I47</f>
        <v>281572</v>
      </c>
      <c r="J90" s="2473"/>
      <c r="K90" s="2542" t="s">
        <v>3320</v>
      </c>
      <c r="L90" s="2543">
        <f>'Part II-Sources of Funds'!L47</f>
        <v>0.24899299310260578</v>
      </c>
      <c r="M90" s="2543"/>
      <c r="N90" s="2536" t="s">
        <v>3725</v>
      </c>
      <c r="O90" s="2536"/>
      <c r="P90" s="1729">
        <f>'Part II-Sources of Funds'!P47</f>
        <v>0</v>
      </c>
      <c r="Q90" s="1729"/>
    </row>
    <row r="91" spans="1:17" ht="13.5">
      <c r="A91" s="1728"/>
      <c r="B91" s="1728"/>
      <c r="C91" s="1728"/>
      <c r="D91" s="1728"/>
      <c r="E91" s="1728"/>
      <c r="F91" s="1728"/>
      <c r="G91" s="1728"/>
      <c r="H91" s="1728"/>
      <c r="I91" s="2538"/>
      <c r="J91" s="2539"/>
      <c r="K91" s="2535"/>
      <c r="L91" s="1533"/>
      <c r="M91" s="1533"/>
      <c r="N91" s="2540"/>
      <c r="O91" s="2540"/>
      <c r="P91" s="1533"/>
      <c r="Q91" s="1533"/>
    </row>
    <row r="92" spans="1:17">
      <c r="A92" s="1728"/>
      <c r="B92" s="1728" t="s">
        <v>2042</v>
      </c>
      <c r="C92" s="1728"/>
      <c r="D92" s="1728"/>
      <c r="E92" s="1728">
        <f>'Part II-Sources of Funds'!E49</f>
        <v>0</v>
      </c>
      <c r="F92" s="1728"/>
      <c r="G92" s="1728"/>
      <c r="H92" s="1728"/>
      <c r="I92" s="2534">
        <f>'Part II-Sources of Funds'!I49</f>
        <v>0</v>
      </c>
      <c r="J92" s="1728"/>
      <c r="K92" s="1728"/>
      <c r="L92" s="1728"/>
      <c r="M92" s="1728"/>
      <c r="N92" s="1728"/>
      <c r="O92" s="1728"/>
      <c r="P92" s="1533" t="s">
        <v>482</v>
      </c>
      <c r="Q92" s="1728"/>
    </row>
    <row r="93" spans="1:17" ht="13.5">
      <c r="A93" s="1728"/>
      <c r="B93" s="1728" t="s">
        <v>744</v>
      </c>
      <c r="C93" s="1728"/>
      <c r="D93" s="1728"/>
      <c r="E93" s="1728">
        <f>'Part II-Sources of Funds'!E50</f>
        <v>0</v>
      </c>
      <c r="F93" s="1728"/>
      <c r="G93" s="1728"/>
      <c r="H93" s="1728"/>
      <c r="I93" s="2534">
        <f>'Part II-Sources of Funds'!I50</f>
        <v>0</v>
      </c>
      <c r="J93" s="1728"/>
      <c r="K93" s="2473"/>
      <c r="L93" s="2544" t="s">
        <v>483</v>
      </c>
      <c r="M93" s="2544"/>
      <c r="N93" s="2545" t="s">
        <v>484</v>
      </c>
      <c r="O93" s="2545"/>
      <c r="P93" s="2546" t="s">
        <v>2351</v>
      </c>
      <c r="Q93" s="1728"/>
    </row>
    <row r="94" spans="1:17" ht="13.5">
      <c r="A94" s="1728"/>
      <c r="B94" s="1728" t="s">
        <v>745</v>
      </c>
      <c r="C94" s="1728"/>
      <c r="D94" s="1728"/>
      <c r="E94" s="1728" t="str">
        <f>'Part II-Sources of Funds'!E51</f>
        <v>Truist Community Capital</v>
      </c>
      <c r="F94" s="1728"/>
      <c r="G94" s="1728"/>
      <c r="H94" s="1728"/>
      <c r="I94" s="2534">
        <f>'Part II-Sources of Funds'!I51</f>
        <v>12294558</v>
      </c>
      <c r="J94" s="1728"/>
      <c r="K94" s="2473"/>
      <c r="L94" s="2547">
        <f>'Part III-A-Uses of Funds'!$J$191*10*'Part III-A-Uses of Funds'!$N$182</f>
        <v>12420000</v>
      </c>
      <c r="M94" s="2547"/>
      <c r="N94" s="2548">
        <f>I94-L94</f>
        <v>-125442</v>
      </c>
      <c r="O94" s="2548"/>
      <c r="P94" s="2549">
        <f>I94/I104</f>
        <v>0.45442596120367518</v>
      </c>
      <c r="Q94" s="1728"/>
    </row>
    <row r="95" spans="1:17" ht="13.5">
      <c r="A95" s="1728"/>
      <c r="B95" s="1728" t="s">
        <v>746</v>
      </c>
      <c r="C95" s="1728"/>
      <c r="D95" s="1728"/>
      <c r="E95" s="1728" t="str">
        <f>'Part II-Sources of Funds'!E52</f>
        <v>Truist Community Capital</v>
      </c>
      <c r="F95" s="1728"/>
      <c r="G95" s="1728"/>
      <c r="H95" s="1728"/>
      <c r="I95" s="2534">
        <f>'Part II-Sources of Funds'!I52</f>
        <v>7684200</v>
      </c>
      <c r="J95" s="1728"/>
      <c r="K95" s="2473"/>
      <c r="L95" s="2547">
        <f>'Part III-A-Uses of Funds'!$J$191*10*'Part III-A-Uses of Funds'!$Q$182</f>
        <v>7560000.0000000009</v>
      </c>
      <c r="M95" s="2547"/>
      <c r="N95" s="2548">
        <f>I95-L95</f>
        <v>124199.99999999907</v>
      </c>
      <c r="O95" s="2548"/>
      <c r="P95" s="2549">
        <f>I95/I104</f>
        <v>0.28401996810957181</v>
      </c>
      <c r="Q95" s="1728"/>
    </row>
    <row r="96" spans="1:17" ht="13.5">
      <c r="A96" s="1728"/>
      <c r="B96" s="1728" t="s">
        <v>1329</v>
      </c>
      <c r="C96" s="1728"/>
      <c r="D96" s="1728"/>
      <c r="E96" s="1728">
        <f>'Part II-Sources of Funds'!E53</f>
        <v>0</v>
      </c>
      <c r="F96" s="1728"/>
      <c r="G96" s="1728"/>
      <c r="H96" s="1728"/>
      <c r="I96" s="2534">
        <f>'Part II-Sources of Funds'!I53</f>
        <v>0</v>
      </c>
      <c r="J96" s="1728"/>
      <c r="K96" s="2473"/>
      <c r="L96" s="2473"/>
      <c r="M96" s="2473"/>
      <c r="N96" s="2473"/>
      <c r="O96" s="2473"/>
      <c r="P96" s="2549">
        <f>SUM(P94:P95)</f>
        <v>0.73844592931324704</v>
      </c>
      <c r="Q96" s="1728"/>
    </row>
    <row r="97" spans="1:20" ht="13.5">
      <c r="A97" s="1728"/>
      <c r="B97" s="1728" t="s">
        <v>496</v>
      </c>
      <c r="C97" s="1728"/>
      <c r="D97" s="1728"/>
      <c r="E97" s="1728">
        <f>'Part II-Sources of Funds'!E54</f>
        <v>0</v>
      </c>
      <c r="F97" s="1728"/>
      <c r="G97" s="1728"/>
      <c r="H97" s="1728"/>
      <c r="I97" s="2534">
        <f>'Part II-Sources of Funds'!I54</f>
        <v>0</v>
      </c>
      <c r="J97" s="1728"/>
      <c r="K97" s="1728"/>
      <c r="L97" s="2473"/>
      <c r="M97" s="2473"/>
      <c r="N97" s="2473"/>
      <c r="O97" s="2473"/>
      <c r="P97" s="2473"/>
      <c r="Q97" s="1728"/>
    </row>
    <row r="98" spans="1:20" ht="13.5">
      <c r="A98" s="1728"/>
      <c r="B98" s="1728" t="s">
        <v>1727</v>
      </c>
      <c r="C98" s="1728"/>
      <c r="D98" s="1728"/>
      <c r="E98" s="1728">
        <f>'Part II-Sources of Funds'!E55</f>
        <v>0</v>
      </c>
      <c r="F98" s="1728"/>
      <c r="G98" s="1728"/>
      <c r="H98" s="1728"/>
      <c r="I98" s="2534">
        <f>'Part II-Sources of Funds'!I55</f>
        <v>0</v>
      </c>
      <c r="J98" s="1728"/>
      <c r="K98" s="2473"/>
      <c r="L98" s="2473"/>
      <c r="M98" s="2473"/>
      <c r="N98" s="1728"/>
      <c r="O98" s="1728"/>
      <c r="P98" s="1728"/>
      <c r="Q98" s="1728"/>
    </row>
    <row r="99" spans="1:20" ht="13.5">
      <c r="A99" s="1728"/>
      <c r="B99" s="1728" t="s">
        <v>1728</v>
      </c>
      <c r="C99" s="1728"/>
      <c r="D99" s="1728"/>
      <c r="E99" s="1728">
        <f>'Part II-Sources of Funds'!E56</f>
        <v>0</v>
      </c>
      <c r="F99" s="1728"/>
      <c r="G99" s="1728"/>
      <c r="H99" s="1728"/>
      <c r="I99" s="2534">
        <f>'Part II-Sources of Funds'!I56</f>
        <v>0</v>
      </c>
      <c r="J99" s="1728"/>
      <c r="K99" s="2473"/>
      <c r="L99" s="2473"/>
      <c r="M99" s="1728"/>
      <c r="N99" s="1728"/>
      <c r="O99" s="1728"/>
      <c r="P99" s="1728"/>
      <c r="Q99" s="1728"/>
    </row>
    <row r="100" spans="1:20" ht="13.5">
      <c r="A100" s="1728"/>
      <c r="B100" s="1728" t="s">
        <v>689</v>
      </c>
      <c r="C100" s="1728">
        <f>'Part II-Sources of Funds'!C57</f>
        <v>0</v>
      </c>
      <c r="D100" s="1728"/>
      <c r="E100" s="1728">
        <f>'Part II-Sources of Funds'!E57</f>
        <v>0</v>
      </c>
      <c r="F100" s="1728"/>
      <c r="G100" s="1728"/>
      <c r="H100" s="1728"/>
      <c r="I100" s="2534">
        <f>'Part II-Sources of Funds'!I57</f>
        <v>0</v>
      </c>
      <c r="J100" s="1728"/>
      <c r="K100" s="2473"/>
      <c r="L100" s="2473"/>
      <c r="M100" s="1728"/>
      <c r="N100" s="1728"/>
      <c r="O100" s="1728"/>
      <c r="P100" s="1728"/>
      <c r="Q100" s="1728"/>
    </row>
    <row r="101" spans="1:20">
      <c r="A101" s="1728"/>
      <c r="B101" s="1728" t="s">
        <v>689</v>
      </c>
      <c r="C101" s="1728">
        <f>'Part II-Sources of Funds'!C58</f>
        <v>0</v>
      </c>
      <c r="D101" s="1728"/>
      <c r="E101" s="1728">
        <f>'Part II-Sources of Funds'!E58</f>
        <v>0</v>
      </c>
      <c r="F101" s="1728"/>
      <c r="G101" s="1728"/>
      <c r="H101" s="1728"/>
      <c r="I101" s="2534">
        <f>'Part II-Sources of Funds'!I58</f>
        <v>0</v>
      </c>
      <c r="J101" s="1728"/>
      <c r="K101" s="1728"/>
      <c r="L101" s="1533"/>
      <c r="M101" s="1728"/>
      <c r="N101" s="1728"/>
      <c r="O101" s="1728"/>
      <c r="P101" s="1728"/>
      <c r="Q101" s="1728"/>
    </row>
    <row r="102" spans="1:20">
      <c r="A102" s="1728"/>
      <c r="B102" s="1728" t="s">
        <v>689</v>
      </c>
      <c r="C102" s="1728">
        <f>'Part II-Sources of Funds'!C59</f>
        <v>0</v>
      </c>
      <c r="D102" s="1728"/>
      <c r="E102" s="1728">
        <f>'Part II-Sources of Funds'!E59</f>
        <v>0</v>
      </c>
      <c r="F102" s="1728"/>
      <c r="G102" s="1728"/>
      <c r="H102" s="1728"/>
      <c r="I102" s="2534">
        <f>'Part II-Sources of Funds'!I59</f>
        <v>0</v>
      </c>
      <c r="J102" s="1728"/>
      <c r="K102" s="1728"/>
      <c r="L102" s="1533"/>
      <c r="M102" s="1728"/>
      <c r="N102" s="1728"/>
      <c r="O102" s="1728"/>
      <c r="P102" s="1728"/>
      <c r="Q102" s="1728"/>
    </row>
    <row r="103" spans="1:20" ht="13.5">
      <c r="A103" s="1728"/>
      <c r="B103" s="2506" t="s">
        <v>2043</v>
      </c>
      <c r="C103" s="1728"/>
      <c r="D103" s="1728"/>
      <c r="E103" s="1728"/>
      <c r="F103" s="1728"/>
      <c r="G103" s="1728"/>
      <c r="H103" s="2473"/>
      <c r="I103" s="2532">
        <f>SUM(I83:J88)+SUM(I92:J102)</f>
        <v>27055140</v>
      </c>
      <c r="J103" s="2532"/>
      <c r="K103" s="1728"/>
      <c r="L103" s="1533"/>
      <c r="M103" s="1728"/>
      <c r="N103" s="1728"/>
      <c r="O103" s="1728"/>
      <c r="P103" s="1728"/>
      <c r="Q103" s="1728"/>
    </row>
    <row r="104" spans="1:20" ht="13.5">
      <c r="A104" s="1728"/>
      <c r="B104" s="2506" t="s">
        <v>2044</v>
      </c>
      <c r="C104" s="1728"/>
      <c r="D104" s="1728"/>
      <c r="E104" s="1728"/>
      <c r="F104" s="1728"/>
      <c r="G104" s="1728"/>
      <c r="H104" s="2473"/>
      <c r="I104" s="2532">
        <f>'Part III-A-Uses of Funds'!$G$146</f>
        <v>27055140</v>
      </c>
      <c r="J104" s="2532"/>
      <c r="K104" s="1728"/>
      <c r="L104" s="1533"/>
      <c r="M104" s="1728"/>
      <c r="N104" s="1728"/>
      <c r="O104" s="1728"/>
      <c r="P104" s="1728"/>
      <c r="Q104" s="1728"/>
    </row>
    <row r="105" spans="1:20" ht="13.5">
      <c r="A105" s="1728"/>
      <c r="B105" s="2506" t="s">
        <v>1426</v>
      </c>
      <c r="C105" s="1728"/>
      <c r="D105" s="1728"/>
      <c r="E105" s="1728"/>
      <c r="F105" s="1728"/>
      <c r="G105" s="1728"/>
      <c r="H105" s="2473"/>
      <c r="I105" s="2533">
        <f>I103-I104</f>
        <v>0</v>
      </c>
      <c r="J105" s="2533"/>
      <c r="K105" s="1728"/>
      <c r="L105" s="1533"/>
      <c r="M105" s="1728"/>
      <c r="N105" s="1728"/>
      <c r="O105" s="1728"/>
      <c r="P105" s="1728"/>
      <c r="Q105" s="1728"/>
    </row>
    <row r="106" spans="1:20">
      <c r="A106" s="1728" t="s">
        <v>3821</v>
      </c>
      <c r="B106" s="2506"/>
      <c r="C106" s="1728"/>
      <c r="D106" s="1728"/>
      <c r="E106" s="1728"/>
      <c r="F106" s="1728"/>
      <c r="G106" s="1728"/>
      <c r="H106" s="2539"/>
      <c r="I106" s="2539"/>
      <c r="J106" s="377"/>
      <c r="K106" s="1728"/>
      <c r="L106" s="1533"/>
      <c r="M106" s="1728"/>
      <c r="N106" s="1728"/>
      <c r="O106" s="1728"/>
      <c r="P106" s="1728"/>
      <c r="Q106" s="1728"/>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499" t="s">
        <v>1661</v>
      </c>
      <c r="B108" s="2499" t="s">
        <v>529</v>
      </c>
      <c r="C108" s="377"/>
      <c r="D108" s="377"/>
      <c r="E108" s="377"/>
      <c r="F108" s="377"/>
      <c r="G108" s="377"/>
      <c r="H108" s="377"/>
      <c r="I108" s="377"/>
      <c r="J108" s="377"/>
      <c r="K108" s="2472"/>
      <c r="L108" s="2472"/>
      <c r="M108" s="2499" t="s">
        <v>1661</v>
      </c>
      <c r="N108" s="2499" t="s">
        <v>74</v>
      </c>
      <c r="O108" s="377"/>
      <c r="P108" s="377"/>
      <c r="Q108" s="377"/>
    </row>
    <row r="109" spans="1:20" ht="13.5">
      <c r="A109" s="2526">
        <f>'Part II-Sources of Funds'!A66</f>
        <v>0</v>
      </c>
      <c r="B109" s="2526"/>
      <c r="C109" s="2526"/>
      <c r="D109" s="2526"/>
      <c r="E109" s="2526"/>
      <c r="F109" s="2526"/>
      <c r="G109" s="2526"/>
      <c r="H109" s="2526"/>
      <c r="I109" s="2526"/>
      <c r="J109" s="2526"/>
      <c r="K109" s="2526"/>
      <c r="L109" s="2526"/>
      <c r="M109" s="2526"/>
      <c r="N109" s="2526"/>
      <c r="O109" s="2526"/>
      <c r="P109" s="2526"/>
      <c r="Q109" s="2526"/>
    </row>
    <row r="112" spans="1:20">
      <c r="A112" s="2499" t="str">
        <f>CONCATENATE("PART THREE (A):  USES OF FUNDS","  -  ",'Part I-Project Identification'!$O$7," ",'Part I-Project Identification'!$F$26,", ",'Part I-Project Identification'!F137,", ",'Part I-Project Identification'!J137," County")</f>
        <v>PART THREE (A):  USES OF FUNDS  -  2024-0 Redland Trace, ,  County</v>
      </c>
      <c r="B112" s="2499"/>
      <c r="C112" s="2499"/>
      <c r="D112" s="2499"/>
      <c r="E112" s="2499"/>
      <c r="F112" s="2499"/>
      <c r="G112" s="2499"/>
      <c r="H112" s="2499"/>
      <c r="I112" s="2499"/>
      <c r="J112" s="2499"/>
      <c r="K112" s="2499"/>
      <c r="L112" s="2499"/>
      <c r="M112" s="2499"/>
      <c r="N112" s="2499"/>
      <c r="O112" s="2499"/>
      <c r="P112" s="2499"/>
      <c r="Q112" s="2499"/>
      <c r="R112" s="2499"/>
      <c r="S112" s="2499"/>
      <c r="T112" s="2499"/>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499"/>
      <c r="B114" s="2499"/>
      <c r="C114" s="2499"/>
      <c r="D114" s="2499"/>
      <c r="E114" s="2499"/>
      <c r="F114" s="2499"/>
      <c r="G114" s="2499"/>
      <c r="H114" s="2499"/>
      <c r="I114" s="2499"/>
      <c r="J114" s="2499"/>
      <c r="K114" s="2499"/>
      <c r="L114" s="2499"/>
      <c r="M114" s="2499"/>
      <c r="N114" s="2499"/>
      <c r="O114" s="2499"/>
      <c r="P114" s="2499"/>
      <c r="Q114" s="2499"/>
      <c r="R114" s="2499"/>
      <c r="S114" s="2499"/>
      <c r="T114" s="2499"/>
    </row>
    <row r="115" spans="1:20" ht="16.5">
      <c r="A115" s="2500"/>
      <c r="B115" s="2500"/>
      <c r="C115" s="2500"/>
      <c r="D115" s="2550"/>
      <c r="E115" s="2550"/>
      <c r="F115" s="2550"/>
      <c r="G115" s="2550"/>
      <c r="H115" s="2550"/>
      <c r="I115" s="2499"/>
      <c r="J115" s="2500"/>
      <c r="K115" s="2500"/>
      <c r="L115" s="2500"/>
      <c r="M115" s="2500"/>
      <c r="N115" s="2500"/>
      <c r="O115" s="2500"/>
      <c r="P115" s="2500"/>
      <c r="Q115" s="2500"/>
      <c r="R115" s="2500"/>
      <c r="S115" s="2500"/>
      <c r="T115" s="2500"/>
    </row>
    <row r="116" spans="1:20" ht="14.45" customHeight="1">
      <c r="A116" s="2550" t="s">
        <v>572</v>
      </c>
      <c r="B116" s="2550" t="s">
        <v>841</v>
      </c>
      <c r="C116" s="1728"/>
      <c r="D116" s="2501" t="str">
        <f>'Part I-Project Identification'!$A$6</f>
        <v>2024 May 7</v>
      </c>
      <c r="E116" s="2501"/>
      <c r="F116" s="2501"/>
      <c r="G116" s="2501"/>
      <c r="H116" s="2501"/>
      <c r="I116" s="2550"/>
      <c r="J116" s="2499" t="s">
        <v>259</v>
      </c>
      <c r="K116" s="2499"/>
      <c r="L116" s="2529"/>
      <c r="M116" s="2551" t="s">
        <v>459</v>
      </c>
      <c r="N116" s="2551"/>
      <c r="O116" s="1728"/>
      <c r="P116" s="2499" t="s">
        <v>260</v>
      </c>
      <c r="Q116" s="2499"/>
      <c r="R116" s="1728"/>
      <c r="S116" s="2499" t="s">
        <v>261</v>
      </c>
      <c r="T116" s="2499"/>
    </row>
    <row r="117" spans="1:20" ht="15">
      <c r="A117" s="1728"/>
      <c r="B117" s="1728"/>
      <c r="C117" s="1728"/>
      <c r="D117" s="2501"/>
      <c r="E117" s="2501"/>
      <c r="F117" s="2501"/>
      <c r="G117" s="2499" t="s">
        <v>95</v>
      </c>
      <c r="H117" s="2499"/>
      <c r="I117" s="1728"/>
      <c r="J117" s="2499"/>
      <c r="K117" s="2499"/>
      <c r="L117" s="2529"/>
      <c r="M117" s="2551"/>
      <c r="N117" s="2551"/>
      <c r="O117" s="1728"/>
      <c r="P117" s="2499"/>
      <c r="Q117" s="2499"/>
      <c r="R117" s="1728"/>
      <c r="S117" s="2499"/>
      <c r="T117" s="2499"/>
    </row>
    <row r="118" spans="1:20">
      <c r="A118" s="1728"/>
      <c r="B118" s="2499" t="s">
        <v>96</v>
      </c>
      <c r="C118" s="1728"/>
      <c r="D118" s="1728"/>
      <c r="E118" s="1728"/>
      <c r="F118" s="1728"/>
      <c r="G118" s="1728"/>
      <c r="H118" s="1728"/>
      <c r="I118" s="1728"/>
      <c r="J118" s="1728"/>
      <c r="K118" s="1728"/>
      <c r="L118" s="1728"/>
      <c r="M118" s="1728"/>
      <c r="N118" s="1728"/>
      <c r="O118" s="2500" t="str">
        <f>B118</f>
        <v>PRE-DEVELOPMENT COSTS</v>
      </c>
      <c r="P118" s="1728"/>
      <c r="Q118" s="1728"/>
      <c r="R118" s="1728"/>
      <c r="S118" s="1728"/>
      <c r="T118" s="1728"/>
    </row>
    <row r="119" spans="1:20">
      <c r="A119" s="1728"/>
      <c r="B119" s="1728" t="s">
        <v>1850</v>
      </c>
      <c r="C119" s="1728"/>
      <c r="D119" s="1728"/>
      <c r="E119" s="1728"/>
      <c r="F119" s="1728"/>
      <c r="G119" s="2529">
        <f>'Part III-A-Uses of Funds'!G9</f>
        <v>4500</v>
      </c>
      <c r="H119" s="2529"/>
      <c r="I119" s="1728"/>
      <c r="J119" s="2529">
        <f>'Part III-A-Uses of Funds'!J9</f>
        <v>4500</v>
      </c>
      <c r="K119" s="2529"/>
      <c r="L119" s="2518"/>
      <c r="M119" s="2529">
        <f>'Part III-A-Uses of Funds'!M9</f>
        <v>0</v>
      </c>
      <c r="N119" s="2529"/>
      <c r="O119" s="1728"/>
      <c r="P119" s="2529">
        <f>'Part III-A-Uses of Funds'!P9</f>
        <v>0</v>
      </c>
      <c r="Q119" s="2529"/>
      <c r="R119" s="1728"/>
      <c r="S119" s="2529">
        <f>'Part III-A-Uses of Funds'!S9</f>
        <v>0</v>
      </c>
      <c r="T119" s="2529"/>
    </row>
    <row r="120" spans="1:20">
      <c r="A120" s="1728"/>
      <c r="B120" s="1728" t="s">
        <v>430</v>
      </c>
      <c r="C120" s="1728"/>
      <c r="D120" s="1728"/>
      <c r="E120" s="1728"/>
      <c r="F120" s="1728"/>
      <c r="G120" s="2529">
        <f>'Part III-A-Uses of Funds'!G10</f>
        <v>9000</v>
      </c>
      <c r="H120" s="2529"/>
      <c r="I120" s="1728"/>
      <c r="J120" s="2529">
        <f>'Part III-A-Uses of Funds'!J10</f>
        <v>9000</v>
      </c>
      <c r="K120" s="2529"/>
      <c r="L120" s="2518"/>
      <c r="M120" s="2529">
        <f>'Part III-A-Uses of Funds'!M10</f>
        <v>0</v>
      </c>
      <c r="N120" s="2529"/>
      <c r="O120" s="1728"/>
      <c r="P120" s="2529">
        <f>'Part III-A-Uses of Funds'!P10</f>
        <v>0</v>
      </c>
      <c r="Q120" s="2529"/>
      <c r="R120" s="1728"/>
      <c r="S120" s="2529">
        <f>'Part III-A-Uses of Funds'!S10</f>
        <v>0</v>
      </c>
      <c r="T120" s="2529"/>
    </row>
    <row r="121" spans="1:20">
      <c r="A121" s="1728"/>
      <c r="B121" s="1728" t="s">
        <v>457</v>
      </c>
      <c r="C121" s="1728"/>
      <c r="D121" s="1728"/>
      <c r="E121" s="1728"/>
      <c r="F121" s="1728"/>
      <c r="G121" s="2529">
        <f>'Part III-A-Uses of Funds'!G11</f>
        <v>50000</v>
      </c>
      <c r="H121" s="2529"/>
      <c r="I121" s="1728"/>
      <c r="J121" s="2529">
        <f>'Part III-A-Uses of Funds'!J11</f>
        <v>50000</v>
      </c>
      <c r="K121" s="2529"/>
      <c r="L121" s="2518"/>
      <c r="M121" s="2529">
        <f>'Part III-A-Uses of Funds'!M11</f>
        <v>0</v>
      </c>
      <c r="N121" s="2529"/>
      <c r="O121" s="1728"/>
      <c r="P121" s="2529">
        <f>'Part III-A-Uses of Funds'!P11</f>
        <v>0</v>
      </c>
      <c r="Q121" s="2529"/>
      <c r="R121" s="1728"/>
      <c r="S121" s="2529">
        <f>'Part III-A-Uses of Funds'!S11</f>
        <v>0</v>
      </c>
      <c r="T121" s="2529"/>
    </row>
    <row r="122" spans="1:20">
      <c r="A122" s="1728"/>
      <c r="B122" s="1728" t="s">
        <v>458</v>
      </c>
      <c r="C122" s="1728"/>
      <c r="D122" s="1728"/>
      <c r="E122" s="1728"/>
      <c r="F122" s="1728"/>
      <c r="G122" s="2529">
        <f>'Part III-A-Uses of Funds'!G12</f>
        <v>15000</v>
      </c>
      <c r="H122" s="2529"/>
      <c r="I122" s="1728"/>
      <c r="J122" s="2529">
        <f>'Part III-A-Uses of Funds'!J12</f>
        <v>15000</v>
      </c>
      <c r="K122" s="2529"/>
      <c r="L122" s="2518"/>
      <c r="M122" s="2529">
        <f>'Part III-A-Uses of Funds'!M12</f>
        <v>0</v>
      </c>
      <c r="N122" s="2529"/>
      <c r="O122" s="1728"/>
      <c r="P122" s="2529">
        <f>'Part III-A-Uses of Funds'!P12</f>
        <v>0</v>
      </c>
      <c r="Q122" s="2529"/>
      <c r="R122" s="1728"/>
      <c r="S122" s="2529">
        <f>'Part III-A-Uses of Funds'!S12</f>
        <v>0</v>
      </c>
      <c r="T122" s="2529"/>
    </row>
    <row r="123" spans="1:20">
      <c r="A123" s="1728"/>
      <c r="B123" s="1728" t="s">
        <v>2295</v>
      </c>
      <c r="C123" s="1728"/>
      <c r="D123" s="1728"/>
      <c r="E123" s="1728"/>
      <c r="F123" s="1728"/>
      <c r="G123" s="2529">
        <f>'Part III-A-Uses of Funds'!G13</f>
        <v>0</v>
      </c>
      <c r="H123" s="2529"/>
      <c r="I123" s="1728"/>
      <c r="J123" s="2529">
        <f>'Part III-A-Uses of Funds'!J13</f>
        <v>0</v>
      </c>
      <c r="K123" s="2529"/>
      <c r="L123" s="2518"/>
      <c r="M123" s="2529">
        <f>'Part III-A-Uses of Funds'!M13</f>
        <v>0</v>
      </c>
      <c r="N123" s="2529"/>
      <c r="O123" s="1728"/>
      <c r="P123" s="2529">
        <f>'Part III-A-Uses of Funds'!P13</f>
        <v>0</v>
      </c>
      <c r="Q123" s="2529"/>
      <c r="R123" s="1728"/>
      <c r="S123" s="2529">
        <f>'Part III-A-Uses of Funds'!S13</f>
        <v>0</v>
      </c>
      <c r="T123" s="2529"/>
    </row>
    <row r="124" spans="1:20">
      <c r="A124" s="1728"/>
      <c r="B124" s="1728" t="s">
        <v>183</v>
      </c>
      <c r="C124" s="1728"/>
      <c r="D124" s="1728"/>
      <c r="E124" s="1728"/>
      <c r="F124" s="1728"/>
      <c r="G124" s="2529">
        <f>'Part III-A-Uses of Funds'!G14</f>
        <v>0</v>
      </c>
      <c r="H124" s="2529"/>
      <c r="I124" s="1728"/>
      <c r="J124" s="2529">
        <f>'Part III-A-Uses of Funds'!J14</f>
        <v>0</v>
      </c>
      <c r="K124" s="2529"/>
      <c r="L124" s="2518"/>
      <c r="M124" s="2529">
        <f>'Part III-A-Uses of Funds'!M14</f>
        <v>0</v>
      </c>
      <c r="N124" s="2529"/>
      <c r="O124" s="1728"/>
      <c r="P124" s="2529">
        <f>'Part III-A-Uses of Funds'!P14</f>
        <v>0</v>
      </c>
      <c r="Q124" s="2529"/>
      <c r="R124" s="1728"/>
      <c r="S124" s="2529">
        <f>'Part III-A-Uses of Funds'!S14</f>
        <v>0</v>
      </c>
      <c r="T124" s="2529"/>
    </row>
    <row r="125" spans="1:20" ht="15.6" customHeight="1">
      <c r="A125" s="2552" t="str">
        <f>IF(AND(G125&gt;0,OR(C125="",C125="&lt;Enter detailed description here; use Comments section if needed&gt;")),"X","")</f>
        <v/>
      </c>
      <c r="B125" s="2505" t="s">
        <v>4170</v>
      </c>
      <c r="C125" s="2473">
        <f>'Part III-A-Uses of Funds'!C15</f>
        <v>0</v>
      </c>
      <c r="D125" s="2473"/>
      <c r="E125" s="2473"/>
      <c r="F125" s="2473"/>
      <c r="G125" s="2529">
        <f>'Part III-A-Uses of Funds'!G15</f>
        <v>0</v>
      </c>
      <c r="H125" s="2529"/>
      <c r="I125" s="1728"/>
      <c r="J125" s="2529">
        <f>'Part III-A-Uses of Funds'!J15</f>
        <v>0</v>
      </c>
      <c r="K125" s="2529"/>
      <c r="L125" s="2518"/>
      <c r="M125" s="2529">
        <f>'Part III-A-Uses of Funds'!M15</f>
        <v>0</v>
      </c>
      <c r="N125" s="2529"/>
      <c r="O125" s="1728"/>
      <c r="P125" s="2529">
        <f>'Part III-A-Uses of Funds'!P15</f>
        <v>0</v>
      </c>
      <c r="Q125" s="2529"/>
      <c r="R125" s="1728"/>
      <c r="S125" s="2529">
        <f>'Part III-A-Uses of Funds'!S15</f>
        <v>0</v>
      </c>
      <c r="T125" s="2529"/>
    </row>
    <row r="126" spans="1:20" ht="15.6" customHeight="1">
      <c r="A126" s="2552" t="str">
        <f>IF(AND(G126&gt;0,OR(C126="",C126="&lt;Enter detailed description here; use Comments section if needed&gt;")),"X","")</f>
        <v/>
      </c>
      <c r="B126" s="2505" t="s">
        <v>4171</v>
      </c>
      <c r="C126" s="2473" t="str">
        <f>'Part III-A-Uses of Funds'!C16</f>
        <v>&lt;&lt; Enter description here; provide detail &amp; justification in tab Part III-b &gt;&gt;</v>
      </c>
      <c r="D126" s="2473"/>
      <c r="E126" s="2473"/>
      <c r="F126" s="2473"/>
      <c r="G126" s="2529">
        <f>'Part III-A-Uses of Funds'!G16</f>
        <v>0</v>
      </c>
      <c r="H126" s="2529"/>
      <c r="I126" s="1728"/>
      <c r="J126" s="2529">
        <f>'Part III-A-Uses of Funds'!J16</f>
        <v>0</v>
      </c>
      <c r="K126" s="2529"/>
      <c r="L126" s="2518"/>
      <c r="M126" s="2529">
        <f>'Part III-A-Uses of Funds'!M16</f>
        <v>0</v>
      </c>
      <c r="N126" s="2529"/>
      <c r="O126" s="1728"/>
      <c r="P126" s="2529">
        <f>'Part III-A-Uses of Funds'!P16</f>
        <v>0</v>
      </c>
      <c r="Q126" s="2529"/>
      <c r="R126" s="1728"/>
      <c r="S126" s="2529">
        <f>'Part III-A-Uses of Funds'!S16</f>
        <v>0</v>
      </c>
      <c r="T126" s="2529"/>
    </row>
    <row r="127" spans="1:20" ht="15.95" customHeight="1">
      <c r="A127" s="2552" t="str">
        <f>IF(AND(G127&gt;0,OR(C127="",C127="&lt;Enter detailed description here; use Comments section if needed&gt;")),"X","")</f>
        <v/>
      </c>
      <c r="B127" s="2505" t="s">
        <v>4172</v>
      </c>
      <c r="C127" s="2473" t="str">
        <f>'Part III-A-Uses of Funds'!C17</f>
        <v>&lt;&lt; Enter description here; provide detail &amp; justification in tab Part III-b &gt;&gt;</v>
      </c>
      <c r="D127" s="2473"/>
      <c r="E127" s="2473"/>
      <c r="F127" s="2473"/>
      <c r="G127" s="2529">
        <f>'Part III-A-Uses of Funds'!G17</f>
        <v>0</v>
      </c>
      <c r="H127" s="2529"/>
      <c r="I127" s="1728"/>
      <c r="J127" s="2529">
        <f>'Part III-A-Uses of Funds'!J17</f>
        <v>0</v>
      </c>
      <c r="K127" s="2529"/>
      <c r="L127" s="2518"/>
      <c r="M127" s="2529">
        <f>'Part III-A-Uses of Funds'!M17</f>
        <v>0</v>
      </c>
      <c r="N127" s="2529"/>
      <c r="O127" s="1728"/>
      <c r="P127" s="2529">
        <f>'Part III-A-Uses of Funds'!P17</f>
        <v>0</v>
      </c>
      <c r="Q127" s="2529"/>
      <c r="R127" s="1728"/>
      <c r="S127" s="2529">
        <f>'Part III-A-Uses of Funds'!S17</f>
        <v>0</v>
      </c>
      <c r="T127" s="2529"/>
    </row>
    <row r="128" spans="1:20">
      <c r="A128" s="1728"/>
      <c r="B128" s="1728"/>
      <c r="C128" s="1728"/>
      <c r="D128" s="1728"/>
      <c r="E128" s="1728"/>
      <c r="F128" s="2553" t="s">
        <v>184</v>
      </c>
      <c r="G128" s="2529">
        <f>SUM(G119:G127)</f>
        <v>78500</v>
      </c>
      <c r="H128" s="2529"/>
      <c r="I128" s="1728"/>
      <c r="J128" s="2529">
        <f>SUM(J119:J127)</f>
        <v>78500</v>
      </c>
      <c r="K128" s="2529"/>
      <c r="L128" s="2518"/>
      <c r="M128" s="2529">
        <f>SUM(M119:M127)</f>
        <v>0</v>
      </c>
      <c r="N128" s="2529"/>
      <c r="O128" s="1728"/>
      <c r="P128" s="2529">
        <f>SUM(P119:P127)</f>
        <v>0</v>
      </c>
      <c r="Q128" s="2529"/>
      <c r="R128" s="1728"/>
      <c r="S128" s="2529">
        <f>SUM(S119:S127)</f>
        <v>0</v>
      </c>
      <c r="T128" s="2529"/>
    </row>
    <row r="129" spans="1:20">
      <c r="A129" s="1728"/>
      <c r="B129" s="2499" t="s">
        <v>2032</v>
      </c>
      <c r="C129" s="1728"/>
      <c r="D129" s="1728"/>
      <c r="E129" s="1728"/>
      <c r="F129" s="1728"/>
      <c r="G129" s="1728"/>
      <c r="H129" s="1728"/>
      <c r="I129" s="1728"/>
      <c r="J129" s="2529"/>
      <c r="K129" s="2529"/>
      <c r="L129" s="1728"/>
      <c r="M129" s="2529"/>
      <c r="N129" s="2529"/>
      <c r="O129" s="2554" t="str">
        <f>B129</f>
        <v>ACQUISITION</v>
      </c>
      <c r="P129" s="2529"/>
      <c r="Q129" s="2529"/>
      <c r="R129" s="1728"/>
      <c r="S129" s="2529"/>
      <c r="T129" s="2529"/>
    </row>
    <row r="130" spans="1:20">
      <c r="A130" s="1728"/>
      <c r="B130" s="1728" t="s">
        <v>2033</v>
      </c>
      <c r="C130" s="1728"/>
      <c r="D130" s="1728"/>
      <c r="E130" s="2555" t="s">
        <v>3136</v>
      </c>
      <c r="F130" s="2556">
        <f>IF('Part I-Project Identification'!$O$28="","",G130/'Part I-Project Identification'!$O$28)</f>
        <v>240384.61538461538</v>
      </c>
      <c r="G130" s="2529">
        <f>'Part III-A-Uses of Funds'!G20</f>
        <v>2000000</v>
      </c>
      <c r="H130" s="2529"/>
      <c r="I130" s="1728"/>
      <c r="J130" s="2518"/>
      <c r="K130" s="2529"/>
      <c r="L130" s="2518"/>
      <c r="M130" s="2518"/>
      <c r="N130" s="2529"/>
      <c r="O130" s="1728"/>
      <c r="P130" s="2518"/>
      <c r="Q130" s="2529"/>
      <c r="R130" s="1728"/>
      <c r="S130" s="2529">
        <f>'Part III-A-Uses of Funds'!S20</f>
        <v>2000000</v>
      </c>
      <c r="T130" s="2529"/>
    </row>
    <row r="131" spans="1:20">
      <c r="A131" s="1728"/>
      <c r="B131" s="1728" t="s">
        <v>1053</v>
      </c>
      <c r="C131" s="1728"/>
      <c r="D131" s="1728"/>
      <c r="E131" s="1728"/>
      <c r="F131" s="1728"/>
      <c r="G131" s="2529">
        <f>'Part III-A-Uses of Funds'!G21</f>
        <v>0</v>
      </c>
      <c r="H131" s="2529"/>
      <c r="I131" s="1728"/>
      <c r="J131" s="2518"/>
      <c r="K131" s="2529"/>
      <c r="L131" s="2518"/>
      <c r="M131" s="2518"/>
      <c r="N131" s="2529"/>
      <c r="O131" s="1728"/>
      <c r="P131" s="2518"/>
      <c r="Q131" s="2529"/>
      <c r="R131" s="1728"/>
      <c r="S131" s="2529">
        <f>'Part III-A-Uses of Funds'!S21</f>
        <v>0</v>
      </c>
      <c r="T131" s="2529"/>
    </row>
    <row r="132" spans="1:20">
      <c r="A132" s="1728"/>
      <c r="B132" s="1728" t="s">
        <v>431</v>
      </c>
      <c r="C132" s="1728"/>
      <c r="D132" s="1728"/>
      <c r="E132" s="1728"/>
      <c r="F132" s="1728"/>
      <c r="G132" s="2529">
        <f>'Part III-A-Uses of Funds'!G22</f>
        <v>0</v>
      </c>
      <c r="H132" s="2529"/>
      <c r="I132" s="1728"/>
      <c r="J132" s="2518"/>
      <c r="K132" s="2529"/>
      <c r="L132" s="2518"/>
      <c r="M132" s="2529">
        <f>'Part III-A-Uses of Funds'!M22</f>
        <v>0</v>
      </c>
      <c r="N132" s="2529"/>
      <c r="O132" s="1728"/>
      <c r="P132" s="2518"/>
      <c r="Q132" s="2529"/>
      <c r="R132" s="1728"/>
      <c r="S132" s="2529">
        <f>'Part III-A-Uses of Funds'!S22</f>
        <v>0</v>
      </c>
      <c r="T132" s="2529"/>
    </row>
    <row r="133" spans="1:20">
      <c r="A133" s="1728"/>
      <c r="B133" s="1728" t="s">
        <v>404</v>
      </c>
      <c r="C133" s="1728"/>
      <c r="D133" s="1728"/>
      <c r="E133" s="1728"/>
      <c r="F133" s="1728"/>
      <c r="G133" s="2529">
        <f>'Part III-A-Uses of Funds'!G23</f>
        <v>0</v>
      </c>
      <c r="H133" s="2529"/>
      <c r="I133" s="1728"/>
      <c r="J133" s="2518"/>
      <c r="K133" s="2529"/>
      <c r="L133" s="2518"/>
      <c r="M133" s="2529">
        <f>'Part III-A-Uses of Funds'!M23</f>
        <v>0</v>
      </c>
      <c r="N133" s="2529"/>
      <c r="O133" s="1728"/>
      <c r="P133" s="2518"/>
      <c r="Q133" s="2529"/>
      <c r="R133" s="1728"/>
      <c r="S133" s="2529">
        <f>'Part III-A-Uses of Funds'!S23</f>
        <v>0</v>
      </c>
      <c r="T133" s="2529"/>
    </row>
    <row r="134" spans="1:20">
      <c r="A134" s="1728"/>
      <c r="B134" s="1728"/>
      <c r="C134" s="1728"/>
      <c r="D134" s="1728"/>
      <c r="E134" s="1728"/>
      <c r="F134" s="2553" t="s">
        <v>184</v>
      </c>
      <c r="G134" s="2529">
        <f>SUM(G130:G133)</f>
        <v>2000000</v>
      </c>
      <c r="H134" s="2529"/>
      <c r="I134" s="1728"/>
      <c r="J134" s="2518"/>
      <c r="K134" s="2529"/>
      <c r="L134" s="2518"/>
      <c r="M134" s="2529">
        <f>SUM(M132:M133)</f>
        <v>0</v>
      </c>
      <c r="N134" s="2529"/>
      <c r="O134" s="1728"/>
      <c r="P134" s="2518"/>
      <c r="Q134" s="2529"/>
      <c r="R134" s="1728"/>
      <c r="S134" s="2529">
        <f>SUM(S130:S133)</f>
        <v>2000000</v>
      </c>
      <c r="T134" s="2529"/>
    </row>
    <row r="135" spans="1:20">
      <c r="A135" s="1728"/>
      <c r="B135" s="2499" t="s">
        <v>1054</v>
      </c>
      <c r="C135" s="1728"/>
      <c r="D135" s="1728"/>
      <c r="E135" s="1728"/>
      <c r="F135" s="1728"/>
      <c r="G135" s="1728"/>
      <c r="H135" s="1728"/>
      <c r="I135" s="1728"/>
      <c r="J135" s="2518"/>
      <c r="K135" s="2529"/>
      <c r="L135" s="1728"/>
      <c r="M135" s="2518"/>
      <c r="N135" s="2529"/>
      <c r="O135" s="2554" t="str">
        <f>B135</f>
        <v>LAND IMPROVEMENTS</v>
      </c>
      <c r="P135" s="2518"/>
      <c r="Q135" s="2529"/>
      <c r="R135" s="1728"/>
      <c r="S135" s="2518"/>
      <c r="T135" s="2529"/>
    </row>
    <row r="136" spans="1:20">
      <c r="A136" s="1728"/>
      <c r="B136" s="1728" t="s">
        <v>1055</v>
      </c>
      <c r="C136" s="1728"/>
      <c r="D136" s="1728"/>
      <c r="E136" s="2555" t="s">
        <v>3136</v>
      </c>
      <c r="F136" s="2556">
        <f>IF('Part I-Project Identification'!$O$28="","",G136/'Part I-Project Identification'!$O$28)</f>
        <v>375000</v>
      </c>
      <c r="G136" s="2529">
        <f>'Part III-A-Uses of Funds'!G26</f>
        <v>3120000</v>
      </c>
      <c r="H136" s="2529"/>
      <c r="I136" s="1728"/>
      <c r="J136" s="2529">
        <f>'Part III-A-Uses of Funds'!J26</f>
        <v>3120000</v>
      </c>
      <c r="K136" s="2529"/>
      <c r="L136" s="2518"/>
      <c r="M136" s="2529">
        <f>'Part III-A-Uses of Funds'!M26</f>
        <v>0</v>
      </c>
      <c r="N136" s="2529"/>
      <c r="O136" s="1728"/>
      <c r="P136" s="2529">
        <f>'Part III-A-Uses of Funds'!P26</f>
        <v>0</v>
      </c>
      <c r="Q136" s="2529"/>
      <c r="R136" s="1728"/>
      <c r="S136" s="2529">
        <f>'Part III-A-Uses of Funds'!S26</f>
        <v>0</v>
      </c>
      <c r="T136" s="2529"/>
    </row>
    <row r="137" spans="1:20">
      <c r="A137" s="1728"/>
      <c r="B137" s="1728" t="s">
        <v>1056</v>
      </c>
      <c r="C137" s="1728"/>
      <c r="D137" s="1728"/>
      <c r="E137" s="1728"/>
      <c r="F137" s="1728"/>
      <c r="G137" s="2529">
        <f>'Part III-A-Uses of Funds'!G27</f>
        <v>80000</v>
      </c>
      <c r="H137" s="2529"/>
      <c r="I137" s="1728"/>
      <c r="J137" s="2529">
        <f>'Part III-A-Uses of Funds'!J27</f>
        <v>0</v>
      </c>
      <c r="K137" s="2529"/>
      <c r="L137" s="2557"/>
      <c r="M137" s="2529"/>
      <c r="N137" s="2529"/>
      <c r="O137" s="1728"/>
      <c r="P137" s="2529"/>
      <c r="Q137" s="2529"/>
      <c r="R137" s="1728"/>
      <c r="S137" s="2529">
        <f>'Part III-A-Uses of Funds'!S27</f>
        <v>80000</v>
      </c>
      <c r="T137" s="2529"/>
    </row>
    <row r="138" spans="1:20">
      <c r="A138" s="1728"/>
      <c r="B138" s="1728"/>
      <c r="C138" s="1728"/>
      <c r="D138" s="1728"/>
      <c r="E138" s="1728"/>
      <c r="F138" s="2553" t="s">
        <v>184</v>
      </c>
      <c r="G138" s="2529">
        <f>SUM(G136:G137)</f>
        <v>3200000</v>
      </c>
      <c r="H138" s="2529"/>
      <c r="I138" s="1728"/>
      <c r="J138" s="2529">
        <f>SUM(J136:J137)</f>
        <v>3120000</v>
      </c>
      <c r="K138" s="2529"/>
      <c r="L138" s="2518"/>
      <c r="M138" s="2529">
        <f>M136</f>
        <v>0</v>
      </c>
      <c r="N138" s="2529"/>
      <c r="O138" s="1728"/>
      <c r="P138" s="2529">
        <f>P136</f>
        <v>0</v>
      </c>
      <c r="Q138" s="2529"/>
      <c r="R138" s="1728"/>
      <c r="S138" s="2529">
        <f>SUM(S136:S137)</f>
        <v>80000</v>
      </c>
      <c r="T138" s="2529"/>
    </row>
    <row r="139" spans="1:20">
      <c r="A139" s="1728"/>
      <c r="B139" s="2499" t="s">
        <v>1057</v>
      </c>
      <c r="C139" s="1728"/>
      <c r="D139" s="1728"/>
      <c r="E139" s="1728"/>
      <c r="F139" s="1728"/>
      <c r="G139" s="1728"/>
      <c r="H139" s="1728"/>
      <c r="I139" s="1728"/>
      <c r="J139" s="2518"/>
      <c r="K139" s="2529"/>
      <c r="L139" s="1728"/>
      <c r="M139" s="2518"/>
      <c r="N139" s="2529"/>
      <c r="O139" s="2554" t="str">
        <f>B139</f>
        <v>STRUCTURES</v>
      </c>
      <c r="P139" s="2518"/>
      <c r="Q139" s="2529"/>
      <c r="R139" s="1728"/>
      <c r="S139" s="2518"/>
      <c r="T139" s="2529"/>
    </row>
    <row r="140" spans="1:20">
      <c r="A140" s="1728"/>
      <c r="B140" s="1728" t="s">
        <v>1058</v>
      </c>
      <c r="C140" s="1728"/>
      <c r="D140" s="1728"/>
      <c r="E140" s="1728"/>
      <c r="F140" s="1728"/>
      <c r="G140" s="2529">
        <f>'Part III-A-Uses of Funds'!G30</f>
        <v>11600000</v>
      </c>
      <c r="H140" s="2529"/>
      <c r="I140" s="1728"/>
      <c r="J140" s="2529">
        <f>'Part III-A-Uses of Funds'!J30</f>
        <v>11600000</v>
      </c>
      <c r="K140" s="2529"/>
      <c r="L140" s="2518"/>
      <c r="M140" s="2529">
        <f>'Part III-A-Uses of Funds'!M30</f>
        <v>0</v>
      </c>
      <c r="N140" s="2529"/>
      <c r="O140" s="1728"/>
      <c r="P140" s="2529">
        <f>'Part III-A-Uses of Funds'!P30</f>
        <v>0</v>
      </c>
      <c r="Q140" s="2529"/>
      <c r="R140" s="1728"/>
      <c r="S140" s="2529">
        <f>'Part III-A-Uses of Funds'!S30</f>
        <v>0</v>
      </c>
      <c r="T140" s="2529"/>
    </row>
    <row r="141" spans="1:20">
      <c r="A141" s="1728"/>
      <c r="B141" s="1728" t="s">
        <v>1059</v>
      </c>
      <c r="C141" s="1728"/>
      <c r="D141" s="1728"/>
      <c r="E141" s="1728"/>
      <c r="F141" s="1728"/>
      <c r="G141" s="2529">
        <f>'Part III-A-Uses of Funds'!G31</f>
        <v>0</v>
      </c>
      <c r="H141" s="2529"/>
      <c r="I141" s="1728"/>
      <c r="J141" s="2529">
        <f>'Part III-A-Uses of Funds'!J31</f>
        <v>0</v>
      </c>
      <c r="K141" s="2529"/>
      <c r="L141" s="2518"/>
      <c r="M141" s="2529">
        <f>'Part III-A-Uses of Funds'!M31</f>
        <v>0</v>
      </c>
      <c r="N141" s="2529"/>
      <c r="O141" s="1728"/>
      <c r="P141" s="2529">
        <f>'Part III-A-Uses of Funds'!P31</f>
        <v>0</v>
      </c>
      <c r="Q141" s="2529"/>
      <c r="R141" s="1728"/>
      <c r="S141" s="2529">
        <f>'Part III-A-Uses of Funds'!S31</f>
        <v>0</v>
      </c>
      <c r="T141" s="2529"/>
    </row>
    <row r="142" spans="1:20">
      <c r="A142" s="1728"/>
      <c r="B142" s="1728" t="s">
        <v>3991</v>
      </c>
      <c r="C142" s="1728"/>
      <c r="D142" s="1728"/>
      <c r="E142" s="1728"/>
      <c r="F142" s="1728"/>
      <c r="G142" s="2529">
        <f>'Part III-A-Uses of Funds'!G32</f>
        <v>375000</v>
      </c>
      <c r="H142" s="2529"/>
      <c r="I142" s="1728"/>
      <c r="J142" s="2529">
        <f>'Part III-A-Uses of Funds'!J32</f>
        <v>375000</v>
      </c>
      <c r="K142" s="2529"/>
      <c r="L142" s="2518"/>
      <c r="M142" s="2529">
        <f>'Part III-A-Uses of Funds'!M32</f>
        <v>0</v>
      </c>
      <c r="N142" s="2529"/>
      <c r="O142" s="1728"/>
      <c r="P142" s="2529">
        <f>'Part III-A-Uses of Funds'!P32</f>
        <v>0</v>
      </c>
      <c r="Q142" s="2529"/>
      <c r="R142" s="1728"/>
      <c r="S142" s="2529">
        <f>'Part III-A-Uses of Funds'!S32</f>
        <v>0</v>
      </c>
      <c r="T142" s="2529"/>
    </row>
    <row r="143" spans="1:20">
      <c r="A143" s="1728"/>
      <c r="B143" s="1728" t="s">
        <v>3989</v>
      </c>
      <c r="C143" s="1728"/>
      <c r="D143" s="1728"/>
      <c r="E143" s="1728"/>
      <c r="F143" s="1728"/>
      <c r="G143" s="2529">
        <f>'Part III-A-Uses of Funds'!G33</f>
        <v>0</v>
      </c>
      <c r="H143" s="2529"/>
      <c r="I143" s="1728"/>
      <c r="J143" s="2529">
        <f>'Part III-A-Uses of Funds'!J33</f>
        <v>0</v>
      </c>
      <c r="K143" s="2529"/>
      <c r="L143" s="2518"/>
      <c r="M143" s="2529">
        <f>'Part III-A-Uses of Funds'!M33</f>
        <v>0</v>
      </c>
      <c r="N143" s="2529"/>
      <c r="O143" s="1728"/>
      <c r="P143" s="2529">
        <f>'Part III-A-Uses of Funds'!P33</f>
        <v>0</v>
      </c>
      <c r="Q143" s="2529"/>
      <c r="R143" s="1728"/>
      <c r="S143" s="2529">
        <f>'Part III-A-Uses of Funds'!S33</f>
        <v>0</v>
      </c>
      <c r="T143" s="2529"/>
    </row>
    <row r="144" spans="1:20">
      <c r="A144" s="377"/>
      <c r="B144" s="1728" t="s">
        <v>2487</v>
      </c>
      <c r="C144" s="377"/>
      <c r="D144" s="377"/>
      <c r="E144" s="377"/>
      <c r="F144" s="377"/>
      <c r="G144" s="2529">
        <f>'Part III-A-Uses of Funds'!G34</f>
        <v>0</v>
      </c>
      <c r="H144" s="2529"/>
      <c r="I144" s="1728"/>
      <c r="J144" s="2529">
        <f>'Part III-A-Uses of Funds'!J34</f>
        <v>0</v>
      </c>
      <c r="K144" s="2529"/>
      <c r="L144" s="2518"/>
      <c r="M144" s="2529">
        <f>'Part III-A-Uses of Funds'!M34</f>
        <v>0</v>
      </c>
      <c r="N144" s="2529"/>
      <c r="O144" s="1728"/>
      <c r="P144" s="2529">
        <f>'Part III-A-Uses of Funds'!P34</f>
        <v>0</v>
      </c>
      <c r="Q144" s="2529"/>
      <c r="R144" s="1728"/>
      <c r="S144" s="2529">
        <f>'Part III-A-Uses of Funds'!S34</f>
        <v>0</v>
      </c>
      <c r="T144" s="2529"/>
    </row>
    <row r="145" spans="1:20">
      <c r="A145" s="377"/>
      <c r="B145" s="1728" t="s">
        <v>3990</v>
      </c>
      <c r="C145" s="377"/>
      <c r="D145" s="377"/>
      <c r="E145" s="377"/>
      <c r="F145" s="377"/>
      <c r="G145" s="2529">
        <f>'Part III-A-Uses of Funds'!G35</f>
        <v>0</v>
      </c>
      <c r="H145" s="2529"/>
      <c r="I145" s="1728"/>
      <c r="J145" s="2529">
        <f>'Part III-A-Uses of Funds'!J35</f>
        <v>0</v>
      </c>
      <c r="K145" s="2529"/>
      <c r="L145" s="2518"/>
      <c r="M145" s="2529">
        <f>'Part III-A-Uses of Funds'!M35</f>
        <v>0</v>
      </c>
      <c r="N145" s="2529"/>
      <c r="O145" s="1728"/>
      <c r="P145" s="2529">
        <f>'Part III-A-Uses of Funds'!P35</f>
        <v>0</v>
      </c>
      <c r="Q145" s="2529"/>
      <c r="R145" s="1728"/>
      <c r="S145" s="2529">
        <f>'Part III-A-Uses of Funds'!S35</f>
        <v>0</v>
      </c>
      <c r="T145" s="2529"/>
    </row>
    <row r="146" spans="1:20">
      <c r="A146" s="1728"/>
      <c r="B146" s="1728"/>
      <c r="C146" s="2558"/>
      <c r="D146" s="2558"/>
      <c r="E146" s="2559"/>
      <c r="F146" s="2553" t="s">
        <v>184</v>
      </c>
      <c r="G146" s="2529">
        <f>SUM(G140:G145)</f>
        <v>11975000</v>
      </c>
      <c r="H146" s="2529"/>
      <c r="I146" s="1728"/>
      <c r="J146" s="2529">
        <f>SUM(J140:J145)</f>
        <v>11975000</v>
      </c>
      <c r="K146" s="2529"/>
      <c r="L146" s="2518"/>
      <c r="M146" s="2529">
        <f>SUM(M140:M145)</f>
        <v>0</v>
      </c>
      <c r="N146" s="2529"/>
      <c r="O146" s="1728"/>
      <c r="P146" s="2529">
        <f>SUM(P140:P145)</f>
        <v>0</v>
      </c>
      <c r="Q146" s="2529"/>
      <c r="R146" s="1728"/>
      <c r="S146" s="2529">
        <f>SUM(S140:S145)</f>
        <v>0</v>
      </c>
      <c r="T146" s="2529"/>
    </row>
    <row r="147" spans="1:20" ht="13.5">
      <c r="A147" s="1728"/>
      <c r="B147" s="2499" t="s">
        <v>2157</v>
      </c>
      <c r="C147" s="1728"/>
      <c r="D147" s="2474" t="s">
        <v>3140</v>
      </c>
      <c r="E147" s="2474"/>
      <c r="F147" s="2560">
        <f>SUM(F148:F150)</f>
        <v>0</v>
      </c>
      <c r="G147" s="2561"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18"/>
      <c r="K147" s="2529"/>
      <c r="L147" s="1728"/>
      <c r="M147" s="2518"/>
      <c r="N147" s="2529"/>
      <c r="O147" s="2554" t="str">
        <f>B147</f>
        <v>CONTRACTOR SERVICES</v>
      </c>
      <c r="P147" s="2518"/>
      <c r="Q147" s="2529"/>
      <c r="R147" s="1728"/>
      <c r="S147" s="2518"/>
      <c r="T147" s="2529"/>
    </row>
    <row r="148" spans="1:20" ht="13.5">
      <c r="A148" s="1728"/>
      <c r="B148" s="1728" t="s">
        <v>2158</v>
      </c>
      <c r="C148" s="1728"/>
      <c r="D148" s="2562">
        <f>'DCA Underwriting Assumptions'!$R$52</f>
        <v>0.06</v>
      </c>
      <c r="E148" s="2563">
        <f>ROUNDDOWN(D148*(G138+G146),0)</f>
        <v>910500</v>
      </c>
      <c r="F148" s="2562">
        <f>IF(($G$28+$G$36)=0,0,G148/($G$28+$G$36))</f>
        <v>0</v>
      </c>
      <c r="G148" s="2529">
        <f>'Part III-A-Uses of Funds'!G38</f>
        <v>910500</v>
      </c>
      <c r="H148" s="2529"/>
      <c r="I148" s="377"/>
      <c r="J148" s="2529">
        <f>'Part III-A-Uses of Funds'!J38</f>
        <v>905700</v>
      </c>
      <c r="K148" s="2529"/>
      <c r="L148" s="2518"/>
      <c r="M148" s="2529">
        <f>'Part III-A-Uses of Funds'!M38</f>
        <v>0</v>
      </c>
      <c r="N148" s="2529"/>
      <c r="O148" s="1728"/>
      <c r="P148" s="2529">
        <f>'Part III-A-Uses of Funds'!P38</f>
        <v>0</v>
      </c>
      <c r="Q148" s="2529"/>
      <c r="R148" s="1728"/>
      <c r="S148" s="2529">
        <f>'Part III-A-Uses of Funds'!S38</f>
        <v>4800</v>
      </c>
      <c r="T148" s="2529"/>
    </row>
    <row r="149" spans="1:20" ht="13.5">
      <c r="A149" s="1728"/>
      <c r="B149" s="1728" t="s">
        <v>2468</v>
      </c>
      <c r="C149" s="1728"/>
      <c r="D149" s="2562">
        <f>'DCA Underwriting Assumptions'!$R$53</f>
        <v>0.02</v>
      </c>
      <c r="E149" s="2563">
        <f>ROUNDDOWN(D149*(G138+G146),0)</f>
        <v>303500</v>
      </c>
      <c r="F149" s="2562">
        <f>IF(($G$28+$G$36)=0,0,G149/($G$28+$G$36))</f>
        <v>0</v>
      </c>
      <c r="G149" s="2529">
        <f>'Part III-A-Uses of Funds'!G39</f>
        <v>303500</v>
      </c>
      <c r="H149" s="2529"/>
      <c r="I149" s="377"/>
      <c r="J149" s="2529">
        <f>'Part III-A-Uses of Funds'!J39</f>
        <v>301900</v>
      </c>
      <c r="K149" s="2529"/>
      <c r="L149" s="2518"/>
      <c r="M149" s="2529">
        <f>'Part III-A-Uses of Funds'!M39</f>
        <v>0</v>
      </c>
      <c r="N149" s="2529"/>
      <c r="O149" s="1728"/>
      <c r="P149" s="2529">
        <f>'Part III-A-Uses of Funds'!P39</f>
        <v>0</v>
      </c>
      <c r="Q149" s="2529"/>
      <c r="R149" s="1728"/>
      <c r="S149" s="2529">
        <f>'Part III-A-Uses of Funds'!S39</f>
        <v>1600</v>
      </c>
      <c r="T149" s="2529"/>
    </row>
    <row r="150" spans="1:20" ht="13.5">
      <c r="A150" s="1728"/>
      <c r="B150" s="1728" t="s">
        <v>2469</v>
      </c>
      <c r="C150" s="1728"/>
      <c r="D150" s="2562">
        <f>'DCA Underwriting Assumptions'!$R$54</f>
        <v>0.06</v>
      </c>
      <c r="E150" s="2563">
        <f>ROUNDDOWN(D150*(G138+G146),0)</f>
        <v>910500</v>
      </c>
      <c r="F150" s="2562">
        <f>IF(($G$28+$G$36)=0,0,G150/($G$28+$G$36))</f>
        <v>0</v>
      </c>
      <c r="G150" s="2529">
        <f>'Part III-A-Uses of Funds'!G40</f>
        <v>910500</v>
      </c>
      <c r="H150" s="2529"/>
      <c r="I150" s="377"/>
      <c r="J150" s="2529">
        <f>'Part III-A-Uses of Funds'!J40</f>
        <v>905700</v>
      </c>
      <c r="K150" s="2529"/>
      <c r="L150" s="2518"/>
      <c r="M150" s="2529">
        <f>'Part III-A-Uses of Funds'!M40</f>
        <v>0</v>
      </c>
      <c r="N150" s="2529"/>
      <c r="O150" s="1728"/>
      <c r="P150" s="2529">
        <f>'Part III-A-Uses of Funds'!P40</f>
        <v>0</v>
      </c>
      <c r="Q150" s="2529"/>
      <c r="R150" s="1728"/>
      <c r="S150" s="2529">
        <f>'Part III-A-Uses of Funds'!S40</f>
        <v>4800</v>
      </c>
      <c r="T150" s="2529"/>
    </row>
    <row r="151" spans="1:20" ht="13.5">
      <c r="A151" s="1728"/>
      <c r="B151" s="2505" t="s">
        <v>3141</v>
      </c>
      <c r="C151" s="1728"/>
      <c r="D151" s="2560">
        <f>SUM(D148:D150)</f>
        <v>0.14000000000000001</v>
      </c>
      <c r="E151" s="2564">
        <f>SUM(E148:E150)</f>
        <v>2124500</v>
      </c>
      <c r="F151" s="2553" t="s">
        <v>184</v>
      </c>
      <c r="G151" s="2529">
        <f>SUM(G148:G150)</f>
        <v>2124500</v>
      </c>
      <c r="H151" s="2529"/>
      <c r="I151" s="1728"/>
      <c r="J151" s="2529">
        <f>SUM(J148:J150)</f>
        <v>2113300</v>
      </c>
      <c r="K151" s="2529"/>
      <c r="L151" s="2518"/>
      <c r="M151" s="2529">
        <f>SUM(M148:M150)</f>
        <v>0</v>
      </c>
      <c r="N151" s="2529"/>
      <c r="O151" s="1728"/>
      <c r="P151" s="2529">
        <f>SUM(P148:P150)</f>
        <v>0</v>
      </c>
      <c r="Q151" s="2529"/>
      <c r="R151" s="1728"/>
      <c r="S151" s="2529">
        <f>SUM(S148:S150)</f>
        <v>11200</v>
      </c>
      <c r="T151" s="2529"/>
    </row>
    <row r="152" spans="1:20">
      <c r="A152" s="2500"/>
      <c r="B152" s="2500"/>
      <c r="C152" s="2500"/>
      <c r="D152" s="2500"/>
      <c r="E152" s="2500"/>
      <c r="F152" s="2500"/>
      <c r="G152" s="2500"/>
      <c r="H152" s="2500"/>
      <c r="I152" s="2500"/>
      <c r="J152" s="2500"/>
      <c r="K152" s="2500"/>
      <c r="L152" s="2500"/>
      <c r="M152" s="2500"/>
      <c r="N152" s="2500"/>
      <c r="O152" s="2500"/>
      <c r="P152" s="2500"/>
      <c r="Q152" s="2500"/>
      <c r="R152" s="2500"/>
      <c r="S152" s="2500"/>
      <c r="T152" s="2500"/>
    </row>
    <row r="153" spans="1:20">
      <c r="A153" s="2500"/>
      <c r="B153" s="1728"/>
      <c r="C153" s="2565" t="s">
        <v>4388</v>
      </c>
      <c r="D153" s="1728"/>
      <c r="E153" s="2500"/>
      <c r="F153" s="2500"/>
      <c r="G153" s="2566">
        <f>G138+G146+G151</f>
        <v>17299500</v>
      </c>
      <c r="H153" s="2566"/>
      <c r="I153" s="2500"/>
      <c r="J153" s="2500"/>
      <c r="K153" s="2500"/>
      <c r="L153" s="2500"/>
      <c r="M153" s="2500"/>
      <c r="N153" s="2500"/>
      <c r="O153" s="2500"/>
      <c r="P153" s="2500"/>
      <c r="Q153" s="2500"/>
      <c r="R153" s="2500"/>
      <c r="S153" s="2500"/>
      <c r="T153" s="2500"/>
    </row>
    <row r="154" spans="1:20">
      <c r="A154" s="2499"/>
      <c r="B154" s="2499"/>
      <c r="C154" s="2499"/>
      <c r="D154" s="2499"/>
      <c r="E154" s="2499"/>
      <c r="F154" s="2499"/>
      <c r="G154" s="2499"/>
      <c r="H154" s="2499"/>
      <c r="I154" s="2499"/>
      <c r="J154" s="2499"/>
      <c r="K154" s="2499"/>
      <c r="L154" s="2499"/>
      <c r="M154" s="2499"/>
      <c r="N154" s="2499"/>
      <c r="O154" s="2499"/>
      <c r="P154" s="2499"/>
      <c r="Q154" s="2499"/>
      <c r="R154" s="2499"/>
      <c r="S154" s="2499"/>
      <c r="T154" s="2499"/>
    </row>
    <row r="155" spans="1:20">
      <c r="A155" s="1728"/>
      <c r="B155" s="2499" t="s">
        <v>5058</v>
      </c>
      <c r="C155" s="1728"/>
      <c r="D155" s="1728"/>
      <c r="E155" s="1728"/>
      <c r="F155" s="1728"/>
      <c r="G155" s="1728"/>
      <c r="H155" s="1728"/>
      <c r="I155" s="1728"/>
      <c r="J155" s="2518"/>
      <c r="K155" s="2529"/>
      <c r="L155" s="1728"/>
      <c r="M155" s="2518"/>
      <c r="N155" s="2529"/>
      <c r="O155" s="2554" t="str">
        <f>B155</f>
        <v>OTHER CONSTRUCTION HARD COSTS (Non-GC work scope items done by Owner)</v>
      </c>
      <c r="P155" s="2518"/>
      <c r="Q155" s="2529"/>
      <c r="R155" s="1728"/>
      <c r="S155" s="2518"/>
      <c r="T155" s="2529"/>
    </row>
    <row r="156" spans="1:20" ht="12.95" customHeight="1">
      <c r="A156" s="377"/>
      <c r="B156" s="2505" t="s">
        <v>4173</v>
      </c>
      <c r="C156" s="2473" t="str">
        <f>'Part III-A-Uses of Funds'!C46</f>
        <v>&lt;&lt; Enter description here; provide detail &amp; justification in tab Part III-b &gt;&gt;</v>
      </c>
      <c r="D156" s="2473"/>
      <c r="E156" s="2473"/>
      <c r="F156" s="2473"/>
      <c r="G156" s="2529">
        <f>'Part III-A-Uses of Funds'!G46</f>
        <v>0</v>
      </c>
      <c r="H156" s="2529"/>
      <c r="I156" s="1728"/>
      <c r="J156" s="2529">
        <f>'Part III-A-Uses of Funds'!J46</f>
        <v>0</v>
      </c>
      <c r="K156" s="2529"/>
      <c r="L156" s="2518"/>
      <c r="M156" s="2529">
        <f>'Part III-A-Uses of Funds'!M46</f>
        <v>0</v>
      </c>
      <c r="N156" s="2529"/>
      <c r="O156" s="1728"/>
      <c r="P156" s="2529">
        <f>'Part III-A-Uses of Funds'!P46</f>
        <v>0</v>
      </c>
      <c r="Q156" s="2529"/>
      <c r="R156" s="1728"/>
      <c r="S156" s="2529">
        <f>'Part III-A-Uses of Funds'!S46</f>
        <v>0</v>
      </c>
      <c r="T156" s="2529"/>
    </row>
    <row r="157" spans="1:20">
      <c r="A157" s="2500"/>
      <c r="B157" s="2500"/>
      <c r="C157" s="2500"/>
      <c r="D157" s="2500"/>
      <c r="E157" s="2500"/>
      <c r="F157" s="2500"/>
      <c r="G157" s="2500"/>
      <c r="H157" s="2500"/>
      <c r="I157" s="2500"/>
      <c r="J157" s="2500"/>
      <c r="K157" s="2500"/>
      <c r="L157" s="2500"/>
      <c r="M157" s="2500"/>
      <c r="N157" s="2500"/>
      <c r="O157" s="2500"/>
      <c r="P157" s="2500"/>
      <c r="Q157" s="2500"/>
      <c r="R157" s="2500"/>
      <c r="S157" s="2500"/>
      <c r="T157" s="2500"/>
    </row>
    <row r="158" spans="1:20" ht="12.95" customHeight="1">
      <c r="A158" s="1728"/>
      <c r="B158" s="2567" t="s">
        <v>5059</v>
      </c>
      <c r="C158" s="2568"/>
      <c r="D158" s="1728"/>
      <c r="E158" s="2499" t="s">
        <v>2471</v>
      </c>
      <c r="F158" s="2569">
        <f>C159/'Part V-Revenues &amp; Expenses'!$P$65</f>
        <v>216243.75</v>
      </c>
      <c r="G158" s="2570" t="s">
        <v>5060</v>
      </c>
      <c r="H158" s="1728"/>
      <c r="I158" s="1728"/>
      <c r="J158" s="2571">
        <f>C159/'Part V-Revenues &amp; Expenses'!$P$67</f>
        <v>216243.75</v>
      </c>
      <c r="K158" s="2571"/>
      <c r="L158" s="1728"/>
      <c r="M158" s="2572" t="s">
        <v>4374</v>
      </c>
      <c r="N158" s="2572"/>
      <c r="O158" s="1728"/>
      <c r="P158" s="2571">
        <f>C159/'Part V-Revenues &amp; Expenses'!$K$179</f>
        <v>182.60938407135694</v>
      </c>
      <c r="Q158" s="2571"/>
      <c r="R158" s="1728"/>
      <c r="S158" s="2573" t="s">
        <v>4376</v>
      </c>
      <c r="T158" s="2573"/>
    </row>
    <row r="159" spans="1:20" ht="13.5">
      <c r="A159" s="1728"/>
      <c r="B159" s="2574" t="s">
        <v>4387</v>
      </c>
      <c r="C159" s="2575">
        <f>G138+G146+G151+G156</f>
        <v>17299500</v>
      </c>
      <c r="D159" s="1728"/>
      <c r="E159" s="2499"/>
      <c r="F159" s="2569">
        <f>C159/'Part V-Revenues &amp; Expenses'!$P$170</f>
        <v>220.65688775510205</v>
      </c>
      <c r="G159" s="2573" t="s">
        <v>5061</v>
      </c>
      <c r="H159" s="1728"/>
      <c r="I159" s="1728"/>
      <c r="J159" s="2571">
        <f>C159/'Part V-Revenues &amp; Expenses'!$P$172</f>
        <v>220.65688775510205</v>
      </c>
      <c r="K159" s="2571"/>
      <c r="L159" s="1728"/>
      <c r="M159" s="2573" t="s">
        <v>4375</v>
      </c>
      <c r="N159" s="2573"/>
      <c r="O159" s="1728"/>
      <c r="P159" s="1728"/>
      <c r="Q159" s="1728"/>
      <c r="R159" s="1728"/>
      <c r="S159" s="1728"/>
      <c r="T159" s="1728"/>
    </row>
    <row r="160" spans="1:20">
      <c r="A160" s="2500"/>
      <c r="B160" s="2500"/>
      <c r="C160" s="2500"/>
      <c r="D160" s="2500"/>
      <c r="E160" s="2500"/>
      <c r="F160" s="2500"/>
      <c r="G160" s="2500"/>
      <c r="H160" s="2500"/>
      <c r="I160" s="2500"/>
      <c r="J160" s="2500"/>
      <c r="K160" s="2500"/>
      <c r="L160" s="2500"/>
      <c r="M160" s="2500"/>
      <c r="N160" s="2500"/>
      <c r="O160" s="2500"/>
      <c r="P160" s="2500"/>
      <c r="Q160" s="2500"/>
      <c r="R160" s="2500"/>
      <c r="S160" s="2500"/>
      <c r="T160" s="2500"/>
    </row>
    <row r="161" spans="1:20" ht="14.45" customHeight="1">
      <c r="A161" s="2550" t="s">
        <v>572</v>
      </c>
      <c r="B161" s="2550" t="s">
        <v>5062</v>
      </c>
      <c r="C161" s="1728"/>
      <c r="D161" s="1728"/>
      <c r="E161" s="1728"/>
      <c r="F161" s="1728"/>
      <c r="G161" s="1728"/>
      <c r="H161" s="1728"/>
      <c r="I161" s="1728"/>
      <c r="J161" s="2499" t="s">
        <v>259</v>
      </c>
      <c r="K161" s="2499"/>
      <c r="L161" s="2529"/>
      <c r="M161" s="2551" t="s">
        <v>459</v>
      </c>
      <c r="N161" s="2551"/>
      <c r="O161" s="1728"/>
      <c r="P161" s="2499" t="s">
        <v>260</v>
      </c>
      <c r="Q161" s="2499"/>
      <c r="R161" s="1728"/>
      <c r="S161" s="2499" t="s">
        <v>261</v>
      </c>
      <c r="T161" s="2499"/>
    </row>
    <row r="162" spans="1:20">
      <c r="A162" s="1728"/>
      <c r="B162" s="1728"/>
      <c r="C162" s="1728"/>
      <c r="D162" s="1728"/>
      <c r="E162" s="1728"/>
      <c r="F162" s="1728"/>
      <c r="G162" s="2499" t="s">
        <v>95</v>
      </c>
      <c r="H162" s="2499"/>
      <c r="I162" s="1728"/>
      <c r="J162" s="2499"/>
      <c r="K162" s="2499"/>
      <c r="L162" s="2529"/>
      <c r="M162" s="2551"/>
      <c r="N162" s="2551"/>
      <c r="O162" s="1728"/>
      <c r="P162" s="2499"/>
      <c r="Q162" s="2499"/>
      <c r="R162" s="1728"/>
      <c r="S162" s="2499"/>
      <c r="T162" s="2499"/>
    </row>
    <row r="163" spans="1:20">
      <c r="A163" s="2500"/>
      <c r="B163" s="2500"/>
      <c r="C163" s="2500"/>
      <c r="D163" s="2500"/>
      <c r="E163" s="2500"/>
      <c r="F163" s="2500"/>
      <c r="G163" s="2500"/>
      <c r="H163" s="2500"/>
      <c r="I163" s="2500"/>
      <c r="J163" s="2500"/>
      <c r="K163" s="2500"/>
      <c r="L163" s="2500"/>
      <c r="M163" s="2500"/>
      <c r="N163" s="2500"/>
      <c r="O163" s="2500"/>
      <c r="P163" s="2500"/>
      <c r="Q163" s="2500"/>
      <c r="R163" s="2500"/>
      <c r="S163" s="2500"/>
      <c r="T163" s="2500"/>
    </row>
    <row r="164" spans="1:20">
      <c r="A164" s="1728"/>
      <c r="B164" s="2499" t="s">
        <v>4195</v>
      </c>
      <c r="C164" s="1728"/>
      <c r="D164" s="1728"/>
      <c r="E164" s="1728"/>
      <c r="F164" s="1257" t="s">
        <v>3324</v>
      </c>
      <c r="G164" s="2499" t="str">
        <f>IF(G165&gt;E165,"Check Contingency Amount!!!!","")</f>
        <v/>
      </c>
      <c r="H164" s="1728"/>
      <c r="I164" s="1728"/>
      <c r="J164" s="2518"/>
      <c r="K164" s="2529"/>
      <c r="L164" s="1728"/>
      <c r="M164" s="2518"/>
      <c r="N164" s="2529"/>
      <c r="O164" s="2554" t="str">
        <f>B164</f>
        <v>CONSTRUCTION CONTINGENCY (CC)</v>
      </c>
      <c r="P164" s="2518"/>
      <c r="Q164" s="2529"/>
      <c r="R164" s="1728"/>
      <c r="S164" s="2518"/>
      <c r="T164" s="2529"/>
    </row>
    <row r="165" spans="1:20">
      <c r="A165" s="377"/>
      <c r="B165" s="1728" t="s">
        <v>1816</v>
      </c>
      <c r="C165" s="377"/>
      <c r="D165" s="2555" t="s">
        <v>3323</v>
      </c>
      <c r="E165" s="257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864975</v>
      </c>
      <c r="F165" s="2537">
        <f>G165/C159</f>
        <v>0.05</v>
      </c>
      <c r="G165" s="2529">
        <f>'Part III-A-Uses of Funds'!G55</f>
        <v>864975</v>
      </c>
      <c r="H165" s="2529"/>
      <c r="I165" s="1728"/>
      <c r="J165" s="2529">
        <f>'Part III-A-Uses of Funds'!J55</f>
        <v>860415</v>
      </c>
      <c r="K165" s="2529"/>
      <c r="L165" s="2518"/>
      <c r="M165" s="2529">
        <f>'Part III-A-Uses of Funds'!M55</f>
        <v>0</v>
      </c>
      <c r="N165" s="2529"/>
      <c r="O165" s="1728"/>
      <c r="P165" s="2529">
        <f>'Part III-A-Uses of Funds'!P55</f>
        <v>0</v>
      </c>
      <c r="Q165" s="2529"/>
      <c r="R165" s="1728"/>
      <c r="S165" s="2529">
        <f>'Part III-A-Uses of Funds'!S55</f>
        <v>4560</v>
      </c>
      <c r="T165" s="2529"/>
    </row>
    <row r="166" spans="1:20">
      <c r="A166" s="2500"/>
      <c r="B166" s="2500"/>
      <c r="C166" s="2500"/>
      <c r="D166" s="2500"/>
      <c r="E166" s="2500"/>
      <c r="F166" s="2500"/>
      <c r="G166" s="2500"/>
      <c r="H166" s="2500"/>
      <c r="I166" s="2500"/>
      <c r="J166" s="2500"/>
      <c r="K166" s="2500"/>
      <c r="L166" s="2500"/>
      <c r="M166" s="2500"/>
      <c r="N166" s="2500"/>
      <c r="O166" s="2500"/>
      <c r="P166" s="2500"/>
      <c r="Q166" s="2500"/>
      <c r="R166" s="2500"/>
      <c r="S166" s="2500"/>
      <c r="T166" s="2500"/>
    </row>
    <row r="167" spans="1:20" ht="12.95" customHeight="1">
      <c r="A167" s="1728"/>
      <c r="B167" s="2577" t="s">
        <v>4196</v>
      </c>
      <c r="C167" s="2568"/>
      <c r="D167" s="1728"/>
      <c r="E167" s="2499" t="s">
        <v>4197</v>
      </c>
      <c r="F167" s="2569">
        <f>B168/'Part V-Revenues &amp; Expenses'!$P$65</f>
        <v>227055.9375</v>
      </c>
      <c r="G167" s="2570" t="s">
        <v>5060</v>
      </c>
      <c r="H167" s="1728"/>
      <c r="I167" s="1728"/>
      <c r="J167" s="2571">
        <f>B168/'Part V-Revenues &amp; Expenses'!$P$67</f>
        <v>227055.9375</v>
      </c>
      <c r="K167" s="2571"/>
      <c r="L167" s="1728"/>
      <c r="M167" s="2572" t="s">
        <v>4374</v>
      </c>
      <c r="N167" s="2572"/>
      <c r="O167" s="1728"/>
      <c r="P167" s="2571">
        <f>B168/'Part V-Revenues &amp; Expenses'!$K$179</f>
        <v>191.7398532749248</v>
      </c>
      <c r="Q167" s="2571"/>
      <c r="R167" s="1728"/>
      <c r="S167" s="2573" t="s">
        <v>4376</v>
      </c>
      <c r="T167" s="2573"/>
    </row>
    <row r="168" spans="1:20">
      <c r="A168" s="1728"/>
      <c r="B168" s="2575">
        <f>C159+G165</f>
        <v>18164475</v>
      </c>
      <c r="C168" s="2575"/>
      <c r="D168" s="1728"/>
      <c r="E168" s="2499"/>
      <c r="F168" s="2569">
        <f>B168/'Part V-Revenues &amp; Expenses'!$P$170</f>
        <v>231.68973214285714</v>
      </c>
      <c r="G168" s="2573" t="s">
        <v>5061</v>
      </c>
      <c r="H168" s="1728"/>
      <c r="I168" s="1728"/>
      <c r="J168" s="2571">
        <f>B168/'Part V-Revenues &amp; Expenses'!$P$172</f>
        <v>231.68973214285714</v>
      </c>
      <c r="K168" s="2571"/>
      <c r="L168" s="1728"/>
      <c r="M168" s="2573" t="s">
        <v>4375</v>
      </c>
      <c r="N168" s="2573"/>
      <c r="O168" s="1728"/>
      <c r="P168" s="1728"/>
      <c r="Q168" s="1728"/>
      <c r="R168" s="1728"/>
      <c r="S168" s="1728"/>
      <c r="T168" s="1728"/>
    </row>
    <row r="169" spans="1:20">
      <c r="A169" s="2500"/>
      <c r="B169" s="2500"/>
      <c r="C169" s="2500"/>
      <c r="D169" s="2500"/>
      <c r="E169" s="2500"/>
      <c r="F169" s="2500"/>
      <c r="G169" s="2500"/>
      <c r="H169" s="2500"/>
      <c r="I169" s="2500"/>
      <c r="J169" s="2500"/>
      <c r="K169" s="2500"/>
      <c r="L169" s="2500"/>
      <c r="M169" s="2500"/>
      <c r="N169" s="2500"/>
      <c r="O169" s="2500"/>
      <c r="P169" s="2500"/>
      <c r="Q169" s="2500"/>
      <c r="R169" s="2500"/>
      <c r="S169" s="2500"/>
      <c r="T169" s="2500"/>
    </row>
    <row r="170" spans="1:20">
      <c r="A170" s="1728"/>
      <c r="B170" s="2499" t="s">
        <v>674</v>
      </c>
      <c r="C170" s="1728"/>
      <c r="D170" s="1728"/>
      <c r="E170" s="1728"/>
      <c r="F170" s="1728"/>
      <c r="G170" s="1728"/>
      <c r="H170" s="1728"/>
      <c r="I170" s="1728"/>
      <c r="J170" s="2518"/>
      <c r="K170" s="2529"/>
      <c r="L170" s="1728"/>
      <c r="M170" s="2518"/>
      <c r="N170" s="2529"/>
      <c r="O170" s="2554" t="str">
        <f>B170</f>
        <v>CONSTRUCTION PERIOD FINANCING</v>
      </c>
      <c r="P170" s="2518"/>
      <c r="Q170" s="2529"/>
      <c r="R170" s="1728"/>
      <c r="S170" s="2518"/>
      <c r="T170" s="2529"/>
    </row>
    <row r="171" spans="1:20">
      <c r="A171" s="1728"/>
      <c r="B171" s="1728" t="s">
        <v>3142</v>
      </c>
      <c r="C171" s="1728"/>
      <c r="D171" s="1728"/>
      <c r="E171" s="1728"/>
      <c r="F171" s="1728"/>
      <c r="G171" s="2529">
        <f>'Part III-A-Uses of Funds'!G61</f>
        <v>0</v>
      </c>
      <c r="H171" s="2529"/>
      <c r="I171" s="1728"/>
      <c r="J171" s="2529">
        <f>'Part III-A-Uses of Funds'!J61</f>
        <v>0</v>
      </c>
      <c r="K171" s="2529"/>
      <c r="L171" s="2518"/>
      <c r="M171" s="2529">
        <f>'Part III-A-Uses of Funds'!M61</f>
        <v>0</v>
      </c>
      <c r="N171" s="2529"/>
      <c r="O171" s="1728"/>
      <c r="P171" s="2529">
        <f>'Part III-A-Uses of Funds'!P61</f>
        <v>0</v>
      </c>
      <c r="Q171" s="2529"/>
      <c r="R171" s="1728"/>
      <c r="S171" s="2529">
        <f>'Part III-A-Uses of Funds'!S61</f>
        <v>0</v>
      </c>
      <c r="T171" s="2529"/>
    </row>
    <row r="172" spans="1:20">
      <c r="A172" s="1728"/>
      <c r="B172" s="1728" t="s">
        <v>3143</v>
      </c>
      <c r="C172" s="1728"/>
      <c r="D172" s="1728"/>
      <c r="E172" s="1728"/>
      <c r="F172" s="1728"/>
      <c r="G172" s="2529">
        <f>'Part III-A-Uses of Funds'!G62</f>
        <v>0</v>
      </c>
      <c r="H172" s="2529"/>
      <c r="I172" s="1728"/>
      <c r="J172" s="2529">
        <f>'Part III-A-Uses of Funds'!J62</f>
        <v>0</v>
      </c>
      <c r="K172" s="2529"/>
      <c r="L172" s="2518"/>
      <c r="M172" s="2529">
        <f>'Part III-A-Uses of Funds'!M62</f>
        <v>0</v>
      </c>
      <c r="N172" s="2529"/>
      <c r="O172" s="1728"/>
      <c r="P172" s="2529">
        <f>'Part III-A-Uses of Funds'!P62</f>
        <v>0</v>
      </c>
      <c r="Q172" s="2529"/>
      <c r="R172" s="1728"/>
      <c r="S172" s="2529">
        <f>'Part III-A-Uses of Funds'!S62</f>
        <v>0</v>
      </c>
      <c r="T172" s="2529"/>
    </row>
    <row r="173" spans="1:20">
      <c r="A173" s="1728"/>
      <c r="B173" s="1728" t="s">
        <v>2160</v>
      </c>
      <c r="C173" s="1728"/>
      <c r="D173" s="1728"/>
      <c r="E173" s="1728"/>
      <c r="F173" s="1728"/>
      <c r="G173" s="2529">
        <f>'Part III-A-Uses of Funds'!G63</f>
        <v>150000</v>
      </c>
      <c r="H173" s="2529"/>
      <c r="I173" s="1728"/>
      <c r="J173" s="2529">
        <f>'Part III-A-Uses of Funds'!J63</f>
        <v>150000</v>
      </c>
      <c r="K173" s="2529"/>
      <c r="L173" s="2518"/>
      <c r="M173" s="2529">
        <f>'Part III-A-Uses of Funds'!M63</f>
        <v>0</v>
      </c>
      <c r="N173" s="2529"/>
      <c r="O173" s="1728"/>
      <c r="P173" s="2529">
        <f>'Part III-A-Uses of Funds'!P63</f>
        <v>0</v>
      </c>
      <c r="Q173" s="2529"/>
      <c r="R173" s="1728"/>
      <c r="S173" s="2529">
        <f>'Part III-A-Uses of Funds'!S63</f>
        <v>0</v>
      </c>
      <c r="T173" s="2529"/>
    </row>
    <row r="174" spans="1:20">
      <c r="A174" s="1728"/>
      <c r="B174" s="1728" t="s">
        <v>2161</v>
      </c>
      <c r="C174" s="1728"/>
      <c r="D174" s="1728"/>
      <c r="E174" s="1728"/>
      <c r="F174" s="1728"/>
      <c r="G174" s="2529">
        <f>'Part III-A-Uses of Funds'!G64</f>
        <v>1844000</v>
      </c>
      <c r="H174" s="2529"/>
      <c r="I174" s="1728"/>
      <c r="J174" s="2529">
        <f>'Part III-A-Uses of Funds'!J64</f>
        <v>1140000</v>
      </c>
      <c r="K174" s="2529"/>
      <c r="L174" s="2518"/>
      <c r="M174" s="2529">
        <f>'Part III-A-Uses of Funds'!M64</f>
        <v>0</v>
      </c>
      <c r="N174" s="2529"/>
      <c r="O174" s="1728"/>
      <c r="P174" s="2529">
        <f>'Part III-A-Uses of Funds'!P64</f>
        <v>0</v>
      </c>
      <c r="Q174" s="2529"/>
      <c r="R174" s="1728"/>
      <c r="S174" s="2529">
        <f>'Part III-A-Uses of Funds'!S64</f>
        <v>704000</v>
      </c>
      <c r="T174" s="2529"/>
    </row>
    <row r="175" spans="1:20">
      <c r="A175" s="1728"/>
      <c r="B175" s="1728" t="s">
        <v>2162</v>
      </c>
      <c r="C175" s="1728"/>
      <c r="D175" s="1728"/>
      <c r="E175" s="1728"/>
      <c r="F175" s="1728"/>
      <c r="G175" s="2529">
        <f>'Part III-A-Uses of Funds'!G65</f>
        <v>75000</v>
      </c>
      <c r="H175" s="2529"/>
      <c r="I175" s="1728"/>
      <c r="J175" s="2529">
        <f>'Part III-A-Uses of Funds'!J65</f>
        <v>75000</v>
      </c>
      <c r="K175" s="2529"/>
      <c r="L175" s="2518"/>
      <c r="M175" s="2529">
        <f>'Part III-A-Uses of Funds'!M65</f>
        <v>0</v>
      </c>
      <c r="N175" s="2529"/>
      <c r="O175" s="1728"/>
      <c r="P175" s="2529">
        <f>'Part III-A-Uses of Funds'!P65</f>
        <v>0</v>
      </c>
      <c r="Q175" s="2529"/>
      <c r="R175" s="1728"/>
      <c r="S175" s="2529">
        <f>'Part III-A-Uses of Funds'!S65</f>
        <v>0</v>
      </c>
      <c r="T175" s="2529"/>
    </row>
    <row r="176" spans="1:20">
      <c r="A176" s="1728"/>
      <c r="B176" s="1728" t="s">
        <v>2443</v>
      </c>
      <c r="C176" s="1728"/>
      <c r="D176" s="1728"/>
      <c r="E176" s="1728"/>
      <c r="F176" s="1728"/>
      <c r="G176" s="2529">
        <f>'Part III-A-Uses of Funds'!G66</f>
        <v>36000</v>
      </c>
      <c r="H176" s="2529"/>
      <c r="I176" s="1728"/>
      <c r="J176" s="2529">
        <f>'Part III-A-Uses of Funds'!J66</f>
        <v>36000</v>
      </c>
      <c r="K176" s="2529"/>
      <c r="L176" s="2518"/>
      <c r="M176" s="2529">
        <f>'Part III-A-Uses of Funds'!M66</f>
        <v>0</v>
      </c>
      <c r="N176" s="2529"/>
      <c r="O176" s="1728"/>
      <c r="P176" s="2529">
        <f>'Part III-A-Uses of Funds'!P66</f>
        <v>0</v>
      </c>
      <c r="Q176" s="2529"/>
      <c r="R176" s="1728"/>
      <c r="S176" s="2529">
        <f>'Part III-A-Uses of Funds'!S66</f>
        <v>0</v>
      </c>
      <c r="T176" s="2529"/>
    </row>
    <row r="177" spans="1:20">
      <c r="A177" s="1728"/>
      <c r="B177" s="1728" t="s">
        <v>675</v>
      </c>
      <c r="C177" s="1728"/>
      <c r="D177" s="1728"/>
      <c r="E177" s="1728"/>
      <c r="F177" s="1728"/>
      <c r="G177" s="2529">
        <f>'Part III-A-Uses of Funds'!G67</f>
        <v>10000</v>
      </c>
      <c r="H177" s="2529"/>
      <c r="I177" s="1728"/>
      <c r="J177" s="2529">
        <f>'Part III-A-Uses of Funds'!J67</f>
        <v>10000</v>
      </c>
      <c r="K177" s="2529"/>
      <c r="L177" s="2518"/>
      <c r="M177" s="2529">
        <f>'Part III-A-Uses of Funds'!M67</f>
        <v>0</v>
      </c>
      <c r="N177" s="2529"/>
      <c r="O177" s="1728"/>
      <c r="P177" s="2529">
        <f>'Part III-A-Uses of Funds'!P67</f>
        <v>0</v>
      </c>
      <c r="Q177" s="2529"/>
      <c r="R177" s="1728"/>
      <c r="S177" s="2529">
        <f>'Part III-A-Uses of Funds'!S67</f>
        <v>0</v>
      </c>
      <c r="T177" s="2529"/>
    </row>
    <row r="178" spans="1:20">
      <c r="A178" s="1728"/>
      <c r="B178" s="1728" t="s">
        <v>2163</v>
      </c>
      <c r="C178" s="1728"/>
      <c r="D178" s="1728"/>
      <c r="E178" s="1728"/>
      <c r="F178" s="1728"/>
      <c r="G178" s="2529">
        <f>'Part III-A-Uses of Funds'!G68</f>
        <v>121590</v>
      </c>
      <c r="H178" s="2529"/>
      <c r="I178" s="1728"/>
      <c r="J178" s="2529">
        <f>'Part III-A-Uses of Funds'!J68</f>
        <v>121590</v>
      </c>
      <c r="K178" s="2529"/>
      <c r="L178" s="2518"/>
      <c r="M178" s="2529">
        <f>'Part III-A-Uses of Funds'!M68</f>
        <v>0</v>
      </c>
      <c r="N178" s="2529"/>
      <c r="O178" s="1728"/>
      <c r="P178" s="2529">
        <f>'Part III-A-Uses of Funds'!P68</f>
        <v>0</v>
      </c>
      <c r="Q178" s="2529"/>
      <c r="R178" s="1728"/>
      <c r="S178" s="2529">
        <f>'Part III-A-Uses of Funds'!S68</f>
        <v>0</v>
      </c>
      <c r="T178" s="2529"/>
    </row>
    <row r="179" spans="1:20">
      <c r="A179" s="1728"/>
      <c r="B179" s="1728" t="s">
        <v>1198</v>
      </c>
      <c r="C179" s="1728"/>
      <c r="D179" s="1728"/>
      <c r="E179" s="1728"/>
      <c r="F179" s="1728"/>
      <c r="G179" s="2529">
        <f>'Part III-A-Uses of Funds'!G69</f>
        <v>72000</v>
      </c>
      <c r="H179" s="2529"/>
      <c r="I179" s="1728"/>
      <c r="J179" s="2529">
        <f>'Part III-A-Uses of Funds'!J69</f>
        <v>50000</v>
      </c>
      <c r="K179" s="2529"/>
      <c r="L179" s="2518"/>
      <c r="M179" s="2529">
        <f>'Part III-A-Uses of Funds'!M69</f>
        <v>0</v>
      </c>
      <c r="N179" s="2529"/>
      <c r="O179" s="1728"/>
      <c r="P179" s="2529">
        <f>'Part III-A-Uses of Funds'!P69</f>
        <v>0</v>
      </c>
      <c r="Q179" s="2529"/>
      <c r="R179" s="1728"/>
      <c r="S179" s="2529">
        <f>'Part III-A-Uses of Funds'!S69</f>
        <v>22000</v>
      </c>
      <c r="T179" s="2529"/>
    </row>
    <row r="180" spans="1:20">
      <c r="A180" s="1728"/>
      <c r="B180" s="2578" t="s">
        <v>1084</v>
      </c>
      <c r="C180" s="1728"/>
      <c r="D180" s="2579"/>
      <c r="E180" s="2579"/>
      <c r="F180" s="2580"/>
      <c r="G180" s="2529">
        <f>'Part III-A-Uses of Funds'!G70</f>
        <v>0</v>
      </c>
      <c r="H180" s="2529"/>
      <c r="I180" s="377"/>
      <c r="J180" s="2529">
        <f>'Part III-A-Uses of Funds'!J70</f>
        <v>0</v>
      </c>
      <c r="K180" s="2529"/>
      <c r="L180" s="2518"/>
      <c r="M180" s="2529">
        <f>'Part III-A-Uses of Funds'!M70</f>
        <v>0</v>
      </c>
      <c r="N180" s="2529"/>
      <c r="O180" s="1728"/>
      <c r="P180" s="2529">
        <f>'Part III-A-Uses of Funds'!P70</f>
        <v>0</v>
      </c>
      <c r="Q180" s="2529"/>
      <c r="R180" s="1728"/>
      <c r="S180" s="2529">
        <f>'Part III-A-Uses of Funds'!S70</f>
        <v>0</v>
      </c>
      <c r="T180" s="2529"/>
    </row>
    <row r="181" spans="1:20" ht="15.6" customHeight="1">
      <c r="A181" s="2552" t="str">
        <f>IF(AND(G181&gt;0,OR(C181="",C181="&lt;Enter detailed description here; use Comments section if needed&gt;")),"X","")</f>
        <v/>
      </c>
      <c r="B181" s="2505" t="s">
        <v>4175</v>
      </c>
      <c r="C181" s="2473" t="str">
        <f>'Part III-A-Uses of Funds'!C71</f>
        <v>Market Study, Appraisal, Plan &amp; Cost Review</v>
      </c>
      <c r="D181" s="2473"/>
      <c r="E181" s="2473"/>
      <c r="F181" s="2473"/>
      <c r="G181" s="2529">
        <f>'Part III-A-Uses of Funds'!G71</f>
        <v>9500</v>
      </c>
      <c r="H181" s="2529"/>
      <c r="I181" s="1728"/>
      <c r="J181" s="2529">
        <f>'Part III-A-Uses of Funds'!J71</f>
        <v>9500</v>
      </c>
      <c r="K181" s="2529"/>
      <c r="L181" s="2518"/>
      <c r="M181" s="2529">
        <f>'Part III-A-Uses of Funds'!M71</f>
        <v>0</v>
      </c>
      <c r="N181" s="2529"/>
      <c r="O181" s="1728"/>
      <c r="P181" s="2529">
        <f>'Part III-A-Uses of Funds'!P71</f>
        <v>0</v>
      </c>
      <c r="Q181" s="2529"/>
      <c r="R181" s="1728"/>
      <c r="S181" s="2529">
        <f>'Part III-A-Uses of Funds'!S71</f>
        <v>0</v>
      </c>
      <c r="T181" s="2529"/>
    </row>
    <row r="182" spans="1:20" ht="15.95" customHeight="1">
      <c r="A182" s="2552" t="str">
        <f>IF(AND(G182&gt;0,OR(C182="",C182="&lt;Enter detailed description here; use Comments section if needed&gt;")),"X","")</f>
        <v/>
      </c>
      <c r="B182" s="2505" t="s">
        <v>4176</v>
      </c>
      <c r="C182" s="2473" t="str">
        <f>'Part III-A-Uses of Funds'!C72</f>
        <v>&lt;&lt; Enter description here; provide detail &amp; justification in tab Part III-b &gt;&gt;</v>
      </c>
      <c r="D182" s="2473"/>
      <c r="E182" s="2473"/>
      <c r="F182" s="2473"/>
      <c r="G182" s="2529">
        <f>'Part III-A-Uses of Funds'!G72</f>
        <v>0</v>
      </c>
      <c r="H182" s="2529"/>
      <c r="I182" s="1728"/>
      <c r="J182" s="2529">
        <f>'Part III-A-Uses of Funds'!J72</f>
        <v>0</v>
      </c>
      <c r="K182" s="2529"/>
      <c r="L182" s="2518"/>
      <c r="M182" s="2529">
        <f>'Part III-A-Uses of Funds'!M72</f>
        <v>0</v>
      </c>
      <c r="N182" s="2529"/>
      <c r="O182" s="1728"/>
      <c r="P182" s="2529">
        <f>'Part III-A-Uses of Funds'!P72</f>
        <v>0</v>
      </c>
      <c r="Q182" s="2529"/>
      <c r="R182" s="1728"/>
      <c r="S182" s="2529">
        <f>'Part III-A-Uses of Funds'!S72</f>
        <v>0</v>
      </c>
      <c r="T182" s="2529"/>
    </row>
    <row r="183" spans="1:20">
      <c r="A183" s="1728"/>
      <c r="B183" s="1728"/>
      <c r="C183" s="1728"/>
      <c r="D183" s="1728"/>
      <c r="E183" s="1728"/>
      <c r="F183" s="2553" t="s">
        <v>184</v>
      </c>
      <c r="G183" s="2529">
        <f>SUM(G171:G182)</f>
        <v>2318090</v>
      </c>
      <c r="H183" s="2529"/>
      <c r="I183" s="1728"/>
      <c r="J183" s="2529">
        <f>SUM(J171:J182)</f>
        <v>1592090</v>
      </c>
      <c r="K183" s="2529"/>
      <c r="L183" s="2518"/>
      <c r="M183" s="2529">
        <f>SUM(M171:M182)</f>
        <v>0</v>
      </c>
      <c r="N183" s="2529"/>
      <c r="O183" s="1728"/>
      <c r="P183" s="2529">
        <f>SUM(P171:P182)</f>
        <v>0</v>
      </c>
      <c r="Q183" s="2529"/>
      <c r="R183" s="1728"/>
      <c r="S183" s="2529">
        <f>SUM(S171:S182)</f>
        <v>726000</v>
      </c>
      <c r="T183" s="2529"/>
    </row>
    <row r="184" spans="1:20">
      <c r="A184" s="1728"/>
      <c r="B184" s="2499" t="s">
        <v>448</v>
      </c>
      <c r="C184" s="1728"/>
      <c r="D184" s="1728"/>
      <c r="E184" s="1728"/>
      <c r="F184" s="1728"/>
      <c r="G184" s="2529"/>
      <c r="H184" s="2529"/>
      <c r="I184" s="1728"/>
      <c r="J184" s="2529"/>
      <c r="K184" s="2529"/>
      <c r="L184" s="1728"/>
      <c r="M184" s="2529"/>
      <c r="N184" s="2529"/>
      <c r="O184" s="2554" t="str">
        <f>B184</f>
        <v>PROFESSIONAL SERVICES</v>
      </c>
      <c r="P184" s="2529"/>
      <c r="Q184" s="2529"/>
      <c r="R184" s="1728"/>
      <c r="S184" s="2529"/>
      <c r="T184" s="2529"/>
    </row>
    <row r="185" spans="1:20">
      <c r="A185" s="1728"/>
      <c r="B185" s="1728" t="s">
        <v>449</v>
      </c>
      <c r="C185" s="1728"/>
      <c r="D185" s="1728"/>
      <c r="E185" s="1728"/>
      <c r="F185" s="1728"/>
      <c r="G185" s="2529">
        <f>'Part III-A-Uses of Funds'!G75</f>
        <v>320000</v>
      </c>
      <c r="H185" s="2529"/>
      <c r="I185" s="1728"/>
      <c r="J185" s="2529">
        <f>'Part III-A-Uses of Funds'!J75</f>
        <v>320000</v>
      </c>
      <c r="K185" s="2529"/>
      <c r="L185" s="2518"/>
      <c r="M185" s="2529">
        <f>'Part III-A-Uses of Funds'!M75</f>
        <v>0</v>
      </c>
      <c r="N185" s="2529"/>
      <c r="O185" s="1728"/>
      <c r="P185" s="2529">
        <f>'Part III-A-Uses of Funds'!P75</f>
        <v>0</v>
      </c>
      <c r="Q185" s="2529"/>
      <c r="R185" s="1728"/>
      <c r="S185" s="2529">
        <f>'Part III-A-Uses of Funds'!S75</f>
        <v>0</v>
      </c>
      <c r="T185" s="2529"/>
    </row>
    <row r="186" spans="1:20">
      <c r="A186" s="1728"/>
      <c r="B186" s="1728" t="s">
        <v>450</v>
      </c>
      <c r="C186" s="1728"/>
      <c r="D186" s="1728"/>
      <c r="E186" s="1728"/>
      <c r="F186" s="1728"/>
      <c r="G186" s="2529">
        <f>'Part III-A-Uses of Funds'!G76</f>
        <v>136000</v>
      </c>
      <c r="H186" s="2529"/>
      <c r="I186" s="1728"/>
      <c r="J186" s="2529">
        <f>'Part III-A-Uses of Funds'!J76</f>
        <v>136000</v>
      </c>
      <c r="K186" s="2529"/>
      <c r="L186" s="2518"/>
      <c r="M186" s="2529">
        <f>'Part III-A-Uses of Funds'!M76</f>
        <v>0</v>
      </c>
      <c r="N186" s="2529"/>
      <c r="O186" s="1728"/>
      <c r="P186" s="2529">
        <f>'Part III-A-Uses of Funds'!P76</f>
        <v>0</v>
      </c>
      <c r="Q186" s="2529"/>
      <c r="R186" s="1728"/>
      <c r="S186" s="2529">
        <f>'Part III-A-Uses of Funds'!S76</f>
        <v>0</v>
      </c>
      <c r="T186" s="2529"/>
    </row>
    <row r="187" spans="1:20">
      <c r="A187" s="1728"/>
      <c r="B187" s="1728" t="s">
        <v>1060</v>
      </c>
      <c r="C187" s="1728"/>
      <c r="D187" s="2510"/>
      <c r="E187" s="2581"/>
      <c r="F187" s="2499"/>
      <c r="G187" s="2529">
        <f>'Part III-A-Uses of Funds'!G77</f>
        <v>20000</v>
      </c>
      <c r="H187" s="2529"/>
      <c r="I187" s="1728"/>
      <c r="J187" s="2529">
        <f>'Part III-A-Uses of Funds'!J77</f>
        <v>20000</v>
      </c>
      <c r="K187" s="2529"/>
      <c r="L187" s="2518"/>
      <c r="M187" s="2529">
        <f>'Part III-A-Uses of Funds'!M77</f>
        <v>0</v>
      </c>
      <c r="N187" s="2529"/>
      <c r="O187" s="1728"/>
      <c r="P187" s="2529">
        <f>'Part III-A-Uses of Funds'!P77</f>
        <v>0</v>
      </c>
      <c r="Q187" s="2529"/>
      <c r="R187" s="1728"/>
      <c r="S187" s="2529">
        <f>'Part III-A-Uses of Funds'!S77</f>
        <v>0</v>
      </c>
      <c r="T187" s="2529"/>
    </row>
    <row r="188" spans="1:20">
      <c r="A188" s="1728"/>
      <c r="B188" s="1728" t="s">
        <v>1061</v>
      </c>
      <c r="C188" s="1728"/>
      <c r="D188" s="1728"/>
      <c r="E188" s="1728"/>
      <c r="F188" s="1728"/>
      <c r="G188" s="2529">
        <f>'Part III-A-Uses of Funds'!G78</f>
        <v>35000</v>
      </c>
      <c r="H188" s="2529"/>
      <c r="I188" s="1728"/>
      <c r="J188" s="2529">
        <f>'Part III-A-Uses of Funds'!J78</f>
        <v>35000</v>
      </c>
      <c r="K188" s="2529"/>
      <c r="L188" s="2518"/>
      <c r="M188" s="2529">
        <f>'Part III-A-Uses of Funds'!M78</f>
        <v>0</v>
      </c>
      <c r="N188" s="2529"/>
      <c r="O188" s="1728"/>
      <c r="P188" s="2529">
        <f>'Part III-A-Uses of Funds'!P78</f>
        <v>0</v>
      </c>
      <c r="Q188" s="2529"/>
      <c r="R188" s="1728"/>
      <c r="S188" s="2529">
        <f>'Part III-A-Uses of Funds'!S78</f>
        <v>0</v>
      </c>
      <c r="T188" s="2529"/>
    </row>
    <row r="189" spans="1:20">
      <c r="A189" s="1728"/>
      <c r="B189" s="1728" t="s">
        <v>1062</v>
      </c>
      <c r="C189" s="1728"/>
      <c r="D189" s="1728"/>
      <c r="E189" s="1728"/>
      <c r="F189" s="1728"/>
      <c r="G189" s="2529">
        <f>'Part III-A-Uses of Funds'!G79</f>
        <v>15000</v>
      </c>
      <c r="H189" s="2529"/>
      <c r="I189" s="1728"/>
      <c r="J189" s="2529">
        <f>'Part III-A-Uses of Funds'!J79</f>
        <v>15000</v>
      </c>
      <c r="K189" s="2529"/>
      <c r="L189" s="2518"/>
      <c r="M189" s="2529">
        <f>'Part III-A-Uses of Funds'!M79</f>
        <v>0</v>
      </c>
      <c r="N189" s="2529"/>
      <c r="O189" s="1728"/>
      <c r="P189" s="2529">
        <f>'Part III-A-Uses of Funds'!P79</f>
        <v>0</v>
      </c>
      <c r="Q189" s="2529"/>
      <c r="R189" s="1728"/>
      <c r="S189" s="2529">
        <f>'Part III-A-Uses of Funds'!S79</f>
        <v>0</v>
      </c>
      <c r="T189" s="2529"/>
    </row>
    <row r="190" spans="1:20">
      <c r="A190" s="1728"/>
      <c r="B190" s="1728" t="s">
        <v>1063</v>
      </c>
      <c r="C190" s="1728"/>
      <c r="D190" s="1728"/>
      <c r="E190" s="1728"/>
      <c r="F190" s="1728"/>
      <c r="G190" s="2529">
        <f>'Part III-A-Uses of Funds'!G80</f>
        <v>0</v>
      </c>
      <c r="H190" s="2529"/>
      <c r="I190" s="1728"/>
      <c r="J190" s="2529">
        <f>'Part III-A-Uses of Funds'!J80</f>
        <v>0</v>
      </c>
      <c r="K190" s="2529"/>
      <c r="L190" s="2518"/>
      <c r="M190" s="2529">
        <f>'Part III-A-Uses of Funds'!M80</f>
        <v>0</v>
      </c>
      <c r="N190" s="2529"/>
      <c r="O190" s="1728"/>
      <c r="P190" s="2529">
        <f>'Part III-A-Uses of Funds'!P80</f>
        <v>0</v>
      </c>
      <c r="Q190" s="2529"/>
      <c r="R190" s="1728"/>
      <c r="S190" s="2529">
        <f>'Part III-A-Uses of Funds'!S80</f>
        <v>0</v>
      </c>
      <c r="T190" s="2529"/>
    </row>
    <row r="191" spans="1:20">
      <c r="A191" s="1728"/>
      <c r="B191" s="1728" t="s">
        <v>451</v>
      </c>
      <c r="C191" s="1728"/>
      <c r="D191" s="1728"/>
      <c r="E191" s="1728"/>
      <c r="F191" s="1728"/>
      <c r="G191" s="2529">
        <f>'Part III-A-Uses of Funds'!G81</f>
        <v>75000</v>
      </c>
      <c r="H191" s="2529"/>
      <c r="I191" s="1728"/>
      <c r="J191" s="2529">
        <f>'Part III-A-Uses of Funds'!J81</f>
        <v>75000</v>
      </c>
      <c r="K191" s="2529"/>
      <c r="L191" s="2518"/>
      <c r="M191" s="2529">
        <f>'Part III-A-Uses of Funds'!M81</f>
        <v>0</v>
      </c>
      <c r="N191" s="2529"/>
      <c r="O191" s="1728"/>
      <c r="P191" s="2529">
        <f>'Part III-A-Uses of Funds'!P81</f>
        <v>0</v>
      </c>
      <c r="Q191" s="2529"/>
      <c r="R191" s="1728"/>
      <c r="S191" s="2529">
        <f>'Part III-A-Uses of Funds'!S81</f>
        <v>0</v>
      </c>
      <c r="T191" s="2529"/>
    </row>
    <row r="192" spans="1:20">
      <c r="A192" s="1728"/>
      <c r="B192" s="1728" t="s">
        <v>452</v>
      </c>
      <c r="C192" s="1728"/>
      <c r="D192" s="1728"/>
      <c r="E192" s="1728"/>
      <c r="F192" s="1728"/>
      <c r="G192" s="2529">
        <f>'Part III-A-Uses of Funds'!G82</f>
        <v>199000</v>
      </c>
      <c r="H192" s="2529"/>
      <c r="I192" s="1728"/>
      <c r="J192" s="2529">
        <f>'Part III-A-Uses of Funds'!J82</f>
        <v>0</v>
      </c>
      <c r="K192" s="2529"/>
      <c r="L192" s="2518"/>
      <c r="M192" s="2529">
        <f>'Part III-A-Uses of Funds'!M82</f>
        <v>0</v>
      </c>
      <c r="N192" s="2529"/>
      <c r="O192" s="1728"/>
      <c r="P192" s="2529">
        <f>'Part III-A-Uses of Funds'!P82</f>
        <v>0</v>
      </c>
      <c r="Q192" s="2529"/>
      <c r="R192" s="1728"/>
      <c r="S192" s="2529">
        <f>'Part III-A-Uses of Funds'!S82</f>
        <v>199000</v>
      </c>
      <c r="T192" s="2529"/>
    </row>
    <row r="193" spans="1:20">
      <c r="A193" s="1728"/>
      <c r="B193" s="1728" t="s">
        <v>1894</v>
      </c>
      <c r="C193" s="1728"/>
      <c r="D193" s="1728"/>
      <c r="E193" s="1728"/>
      <c r="F193" s="1728"/>
      <c r="G193" s="2529">
        <f>'Part III-A-Uses of Funds'!G83</f>
        <v>22500</v>
      </c>
      <c r="H193" s="2529"/>
      <c r="I193" s="1728"/>
      <c r="J193" s="2529">
        <f>'Part III-A-Uses of Funds'!J83</f>
        <v>22500</v>
      </c>
      <c r="K193" s="2529"/>
      <c r="L193" s="2518"/>
      <c r="M193" s="2529">
        <f>'Part III-A-Uses of Funds'!M83</f>
        <v>0</v>
      </c>
      <c r="N193" s="2529"/>
      <c r="O193" s="1728"/>
      <c r="P193" s="2529">
        <f>'Part III-A-Uses of Funds'!P83</f>
        <v>0</v>
      </c>
      <c r="Q193" s="2529"/>
      <c r="R193" s="1728"/>
      <c r="S193" s="2529">
        <f>'Part III-A-Uses of Funds'!S83</f>
        <v>0</v>
      </c>
      <c r="T193" s="2529"/>
    </row>
    <row r="194" spans="1:20">
      <c r="A194" s="1728"/>
      <c r="B194" s="1728" t="s">
        <v>1199</v>
      </c>
      <c r="C194" s="1728"/>
      <c r="D194" s="1728"/>
      <c r="E194" s="1728"/>
      <c r="F194" s="1728"/>
      <c r="G194" s="2529">
        <f>'Part III-A-Uses of Funds'!G84</f>
        <v>30000</v>
      </c>
      <c r="H194" s="2529"/>
      <c r="I194" s="1728"/>
      <c r="J194" s="2529">
        <f>'Part III-A-Uses of Funds'!J84</f>
        <v>30000</v>
      </c>
      <c r="K194" s="2529"/>
      <c r="L194" s="2518"/>
      <c r="M194" s="2529">
        <f>'Part III-A-Uses of Funds'!M84</f>
        <v>0</v>
      </c>
      <c r="N194" s="2529"/>
      <c r="O194" s="1728"/>
      <c r="P194" s="2529">
        <f>'Part III-A-Uses of Funds'!P84</f>
        <v>0</v>
      </c>
      <c r="Q194" s="2529"/>
      <c r="R194" s="1728"/>
      <c r="S194" s="2529">
        <f>'Part III-A-Uses of Funds'!S84</f>
        <v>0</v>
      </c>
      <c r="T194" s="2529"/>
    </row>
    <row r="195" spans="1:20" ht="15.95" customHeight="1">
      <c r="A195" s="2552" t="str">
        <f>IF(AND(G195&gt;0,OR(C195="",C195="&lt;Enter detailed description here; use Comments section if needed&gt;")),"X","")</f>
        <v/>
      </c>
      <c r="B195" s="2505" t="s">
        <v>4177</v>
      </c>
      <c r="C195" s="2473" t="str">
        <f>'Part III-A-Uses of Funds'!C85</f>
        <v>&lt;&lt; Enter description here; provide detail &amp; justification in tab Part III-b &gt;&gt;</v>
      </c>
      <c r="D195" s="2473"/>
      <c r="E195" s="2473"/>
      <c r="F195" s="2473"/>
      <c r="G195" s="2529">
        <f>'Part III-A-Uses of Funds'!G85</f>
        <v>0</v>
      </c>
      <c r="H195" s="2529"/>
      <c r="I195" s="1728"/>
      <c r="J195" s="2529">
        <f>'Part III-A-Uses of Funds'!J85</f>
        <v>0</v>
      </c>
      <c r="K195" s="2529"/>
      <c r="L195" s="2518"/>
      <c r="M195" s="2529">
        <f>'Part III-A-Uses of Funds'!M85</f>
        <v>0</v>
      </c>
      <c r="N195" s="2529"/>
      <c r="O195" s="1728"/>
      <c r="P195" s="2529">
        <f>'Part III-A-Uses of Funds'!P85</f>
        <v>0</v>
      </c>
      <c r="Q195" s="2529"/>
      <c r="R195" s="1728"/>
      <c r="S195" s="2529">
        <f>'Part III-A-Uses of Funds'!S85</f>
        <v>0</v>
      </c>
      <c r="T195" s="2529"/>
    </row>
    <row r="196" spans="1:20">
      <c r="A196" s="1728"/>
      <c r="B196" s="1728"/>
      <c r="C196" s="1728"/>
      <c r="D196" s="1728"/>
      <c r="E196" s="1728"/>
      <c r="F196" s="2553" t="s">
        <v>184</v>
      </c>
      <c r="G196" s="2529">
        <f>SUM(G185:G195)</f>
        <v>852500</v>
      </c>
      <c r="H196" s="2529"/>
      <c r="I196" s="1728"/>
      <c r="J196" s="2529">
        <f>SUM(J185:J195)</f>
        <v>653500</v>
      </c>
      <c r="K196" s="2529"/>
      <c r="L196" s="2518"/>
      <c r="M196" s="2529">
        <f>SUM(M185:M195)</f>
        <v>0</v>
      </c>
      <c r="N196" s="2529"/>
      <c r="O196" s="1728"/>
      <c r="P196" s="2529">
        <f>SUM(P185:P195)</f>
        <v>0</v>
      </c>
      <c r="Q196" s="2529"/>
      <c r="R196" s="1728"/>
      <c r="S196" s="2529">
        <f>SUM(S185:S195)</f>
        <v>199000</v>
      </c>
      <c r="T196" s="2529"/>
    </row>
    <row r="197" spans="1:20">
      <c r="A197" s="1728"/>
      <c r="B197" s="2499" t="s">
        <v>1191</v>
      </c>
      <c r="C197" s="1728"/>
      <c r="D197" s="2582" t="s">
        <v>3146</v>
      </c>
      <c r="E197" s="2583">
        <f>G202/'Part V-Revenues &amp; Expenses'!$P$67</f>
        <v>6182.1875</v>
      </c>
      <c r="F197" s="1728"/>
      <c r="G197" s="1728"/>
      <c r="H197" s="1728"/>
      <c r="I197" s="1728"/>
      <c r="J197" s="2518"/>
      <c r="K197" s="2518"/>
      <c r="L197" s="377"/>
      <c r="M197" s="2518"/>
      <c r="N197" s="2518"/>
      <c r="O197" s="2554" t="str">
        <f>B197</f>
        <v>LOCAL GOVERNMENT FEES</v>
      </c>
      <c r="P197" s="2518"/>
      <c r="Q197" s="2518"/>
      <c r="R197" s="377"/>
      <c r="S197" s="2518"/>
      <c r="T197" s="2518"/>
    </row>
    <row r="198" spans="1:20">
      <c r="A198" s="1728"/>
      <c r="B198" s="1728" t="s">
        <v>1192</v>
      </c>
      <c r="C198" s="1728"/>
      <c r="D198" s="1728"/>
      <c r="E198" s="1728"/>
      <c r="F198" s="1728"/>
      <c r="G198" s="2529">
        <f>'Part III-A-Uses of Funds'!G88</f>
        <v>40636</v>
      </c>
      <c r="H198" s="2529"/>
      <c r="I198" s="1728"/>
      <c r="J198" s="2529">
        <f>'Part III-A-Uses of Funds'!J88</f>
        <v>40636</v>
      </c>
      <c r="K198" s="2529"/>
      <c r="L198" s="2518"/>
      <c r="M198" s="2529">
        <f>'Part III-A-Uses of Funds'!M88</f>
        <v>0</v>
      </c>
      <c r="N198" s="2529"/>
      <c r="O198" s="1728"/>
      <c r="P198" s="2529">
        <f>'Part III-A-Uses of Funds'!P88</f>
        <v>0</v>
      </c>
      <c r="Q198" s="2529"/>
      <c r="R198" s="1728"/>
      <c r="S198" s="2529">
        <f>'Part III-A-Uses of Funds'!S88</f>
        <v>0</v>
      </c>
      <c r="T198" s="2529"/>
    </row>
    <row r="199" spans="1:20">
      <c r="A199" s="1728"/>
      <c r="B199" s="1728" t="s">
        <v>1193</v>
      </c>
      <c r="C199" s="1728"/>
      <c r="D199" s="1728"/>
      <c r="E199" s="1728"/>
      <c r="F199" s="1728"/>
      <c r="G199" s="2529">
        <f>'Part III-A-Uses of Funds'!G89</f>
        <v>250439</v>
      </c>
      <c r="H199" s="2529"/>
      <c r="I199" s="1728"/>
      <c r="J199" s="2529">
        <f>'Part III-A-Uses of Funds'!J89</f>
        <v>250439</v>
      </c>
      <c r="K199" s="2529"/>
      <c r="L199" s="2518"/>
      <c r="M199" s="2529">
        <f>'Part III-A-Uses of Funds'!M89</f>
        <v>0</v>
      </c>
      <c r="N199" s="2529"/>
      <c r="O199" s="1728"/>
      <c r="P199" s="2529">
        <f>'Part III-A-Uses of Funds'!P89</f>
        <v>0</v>
      </c>
      <c r="Q199" s="2529"/>
      <c r="R199" s="1728"/>
      <c r="S199" s="2529">
        <f>'Part III-A-Uses of Funds'!S89</f>
        <v>0</v>
      </c>
      <c r="T199" s="2529"/>
    </row>
    <row r="200" spans="1:20">
      <c r="A200" s="1728"/>
      <c r="B200" s="1728" t="s">
        <v>1194</v>
      </c>
      <c r="C200" s="1728"/>
      <c r="D200" s="2584" t="s">
        <v>1322</v>
      </c>
      <c r="E200" s="2585">
        <f>'Part III-A-Uses of Funds'!E90</f>
        <v>0</v>
      </c>
      <c r="F200" s="1728"/>
      <c r="G200" s="2529">
        <f>'Part III-A-Uses of Funds'!G90</f>
        <v>78500</v>
      </c>
      <c r="H200" s="2529"/>
      <c r="I200" s="377"/>
      <c r="J200" s="2529">
        <f>'Part III-A-Uses of Funds'!J90</f>
        <v>78500</v>
      </c>
      <c r="K200" s="2529"/>
      <c r="L200" s="2518"/>
      <c r="M200" s="2529">
        <f>'Part III-A-Uses of Funds'!M90</f>
        <v>0</v>
      </c>
      <c r="N200" s="2529"/>
      <c r="O200" s="1728"/>
      <c r="P200" s="2529">
        <f>'Part III-A-Uses of Funds'!P90</f>
        <v>0</v>
      </c>
      <c r="Q200" s="2529"/>
      <c r="R200" s="1728"/>
      <c r="S200" s="2529">
        <f>'Part III-A-Uses of Funds'!S90</f>
        <v>0</v>
      </c>
      <c r="T200" s="2529"/>
    </row>
    <row r="201" spans="1:20">
      <c r="A201" s="1728"/>
      <c r="B201" s="1728" t="s">
        <v>1195</v>
      </c>
      <c r="C201" s="1728"/>
      <c r="D201" s="2584" t="s">
        <v>1322</v>
      </c>
      <c r="E201" s="2585">
        <f>'Part III-A-Uses of Funds'!E91</f>
        <v>0</v>
      </c>
      <c r="F201" s="1728"/>
      <c r="G201" s="2529">
        <f>'Part III-A-Uses of Funds'!G91</f>
        <v>125000</v>
      </c>
      <c r="H201" s="2529"/>
      <c r="I201" s="377"/>
      <c r="J201" s="2529">
        <f>'Part III-A-Uses of Funds'!J91</f>
        <v>125000</v>
      </c>
      <c r="K201" s="2529"/>
      <c r="L201" s="2518"/>
      <c r="M201" s="2529">
        <f>'Part III-A-Uses of Funds'!M91</f>
        <v>0</v>
      </c>
      <c r="N201" s="2529"/>
      <c r="O201" s="1728"/>
      <c r="P201" s="2529">
        <f>'Part III-A-Uses of Funds'!P91</f>
        <v>0</v>
      </c>
      <c r="Q201" s="2529"/>
      <c r="R201" s="1728"/>
      <c r="S201" s="2529">
        <f>'Part III-A-Uses of Funds'!S91</f>
        <v>0</v>
      </c>
      <c r="T201" s="2529"/>
    </row>
    <row r="202" spans="1:20">
      <c r="A202" s="1728"/>
      <c r="B202" s="1728"/>
      <c r="C202" s="1728"/>
      <c r="D202" s="1728"/>
      <c r="E202" s="1728"/>
      <c r="F202" s="2553" t="s">
        <v>184</v>
      </c>
      <c r="G202" s="2529">
        <f>SUM(G198:G201)</f>
        <v>494575</v>
      </c>
      <c r="H202" s="2529"/>
      <c r="I202" s="1728"/>
      <c r="J202" s="2529">
        <f>SUM(J198:J201)</f>
        <v>494575</v>
      </c>
      <c r="K202" s="2529"/>
      <c r="L202" s="2518"/>
      <c r="M202" s="2529">
        <f>SUM(M198:M201)</f>
        <v>0</v>
      </c>
      <c r="N202" s="2529"/>
      <c r="O202" s="1728"/>
      <c r="P202" s="2529">
        <f>SUM(P198:P201)</f>
        <v>0</v>
      </c>
      <c r="Q202" s="2529"/>
      <c r="R202" s="1728"/>
      <c r="S202" s="2529">
        <f>SUM(S198:S201)</f>
        <v>0</v>
      </c>
      <c r="T202" s="2529"/>
    </row>
    <row r="203" spans="1:20">
      <c r="A203" s="2500"/>
      <c r="B203" s="2500"/>
      <c r="C203" s="2500"/>
      <c r="D203" s="2500"/>
      <c r="E203" s="2500"/>
      <c r="F203" s="2500"/>
      <c r="G203" s="2500"/>
      <c r="H203" s="2500"/>
      <c r="I203" s="2500"/>
      <c r="J203" s="2500"/>
      <c r="K203" s="2500"/>
      <c r="L203" s="2500"/>
      <c r="M203" s="2500"/>
      <c r="N203" s="2500"/>
      <c r="O203" s="2500"/>
      <c r="P203" s="2500"/>
      <c r="Q203" s="2500"/>
      <c r="R203" s="2500"/>
      <c r="S203" s="2500"/>
      <c r="T203" s="2500"/>
    </row>
    <row r="204" spans="1:20" ht="14.45" customHeight="1">
      <c r="A204" s="2550" t="s">
        <v>572</v>
      </c>
      <c r="B204" s="2550" t="s">
        <v>5063</v>
      </c>
      <c r="C204" s="1728"/>
      <c r="D204" s="1728"/>
      <c r="E204" s="1728"/>
      <c r="F204" s="1728"/>
      <c r="G204" s="1728"/>
      <c r="H204" s="1728"/>
      <c r="I204" s="1728"/>
      <c r="J204" s="2499" t="s">
        <v>259</v>
      </c>
      <c r="K204" s="2499"/>
      <c r="L204" s="2529"/>
      <c r="M204" s="2551" t="s">
        <v>459</v>
      </c>
      <c r="N204" s="2551"/>
      <c r="O204" s="1728"/>
      <c r="P204" s="2499" t="s">
        <v>260</v>
      </c>
      <c r="Q204" s="2499"/>
      <c r="R204" s="1728"/>
      <c r="S204" s="2499" t="s">
        <v>261</v>
      </c>
      <c r="T204" s="2499"/>
    </row>
    <row r="205" spans="1:20">
      <c r="A205" s="1728"/>
      <c r="B205" s="1728"/>
      <c r="C205" s="1728"/>
      <c r="D205" s="1728"/>
      <c r="E205" s="1728"/>
      <c r="F205" s="1728"/>
      <c r="G205" s="2499" t="s">
        <v>95</v>
      </c>
      <c r="H205" s="2499"/>
      <c r="I205" s="1728"/>
      <c r="J205" s="2499"/>
      <c r="K205" s="2499"/>
      <c r="L205" s="2529"/>
      <c r="M205" s="2551"/>
      <c r="N205" s="2551"/>
      <c r="O205" s="1728"/>
      <c r="P205" s="2499"/>
      <c r="Q205" s="2499"/>
      <c r="R205" s="1728"/>
      <c r="S205" s="2499"/>
      <c r="T205" s="2499"/>
    </row>
    <row r="206" spans="1:20">
      <c r="A206" s="1728"/>
      <c r="B206" s="2499" t="s">
        <v>676</v>
      </c>
      <c r="C206" s="1728"/>
      <c r="D206" s="1728"/>
      <c r="E206" s="1728"/>
      <c r="F206" s="1728"/>
      <c r="G206" s="1728"/>
      <c r="H206" s="1728"/>
      <c r="I206" s="1728"/>
      <c r="J206" s="2518"/>
      <c r="K206" s="2518"/>
      <c r="L206" s="1728"/>
      <c r="M206" s="2518"/>
      <c r="N206" s="2518"/>
      <c r="O206" s="2554" t="str">
        <f>B206</f>
        <v>PERMANENT FINANCING FEES</v>
      </c>
      <c r="P206" s="2518"/>
      <c r="Q206" s="2518"/>
      <c r="R206" s="1728"/>
      <c r="S206" s="2518"/>
      <c r="T206" s="2518"/>
    </row>
    <row r="207" spans="1:20">
      <c r="A207" s="1728"/>
      <c r="B207" s="1728" t="s">
        <v>1196</v>
      </c>
      <c r="C207" s="1728"/>
      <c r="D207" s="1728"/>
      <c r="E207" s="1728"/>
      <c r="F207" s="1728"/>
      <c r="G207" s="2529">
        <f>'Part III-A-Uses of Funds'!G97</f>
        <v>165500</v>
      </c>
      <c r="H207" s="2529"/>
      <c r="I207" s="1728"/>
      <c r="J207" s="2529"/>
      <c r="K207" s="2529"/>
      <c r="L207" s="2518"/>
      <c r="M207" s="2529"/>
      <c r="N207" s="2529"/>
      <c r="O207" s="1728"/>
      <c r="P207" s="2529"/>
      <c r="Q207" s="2529"/>
      <c r="R207" s="1728"/>
      <c r="S207" s="2529">
        <f>'Part III-A-Uses of Funds'!S97</f>
        <v>165500</v>
      </c>
      <c r="T207" s="2529"/>
    </row>
    <row r="208" spans="1:20">
      <c r="A208" s="1728"/>
      <c r="B208" s="1728" t="s">
        <v>1197</v>
      </c>
      <c r="C208" s="1728"/>
      <c r="D208" s="1728"/>
      <c r="E208" s="1728"/>
      <c r="F208" s="1728"/>
      <c r="G208" s="2529">
        <f>'Part III-A-Uses of Funds'!G98</f>
        <v>0</v>
      </c>
      <c r="H208" s="2529"/>
      <c r="I208" s="1728"/>
      <c r="J208" s="2529"/>
      <c r="K208" s="2529"/>
      <c r="L208" s="2518"/>
      <c r="M208" s="2529"/>
      <c r="N208" s="2529"/>
      <c r="O208" s="1728"/>
      <c r="P208" s="2529"/>
      <c r="Q208" s="2529"/>
      <c r="R208" s="1728"/>
      <c r="S208" s="2529">
        <f>'Part III-A-Uses of Funds'!S98</f>
        <v>0</v>
      </c>
      <c r="T208" s="2529"/>
    </row>
    <row r="209" spans="1:20">
      <c r="A209" s="1728"/>
      <c r="B209" s="1728" t="s">
        <v>1198</v>
      </c>
      <c r="C209" s="1728"/>
      <c r="D209" s="1728"/>
      <c r="E209" s="1728"/>
      <c r="F209" s="1728"/>
      <c r="G209" s="2529">
        <f>'Part III-A-Uses of Funds'!G99</f>
        <v>0</v>
      </c>
      <c r="H209" s="2529"/>
      <c r="I209" s="1728"/>
      <c r="J209" s="2529"/>
      <c r="K209" s="2529"/>
      <c r="L209" s="2518"/>
      <c r="M209" s="2529"/>
      <c r="N209" s="2529"/>
      <c r="O209" s="1728"/>
      <c r="P209" s="2529"/>
      <c r="Q209" s="2529"/>
      <c r="R209" s="1728"/>
      <c r="S209" s="2529">
        <f>'Part III-A-Uses of Funds'!S99</f>
        <v>0</v>
      </c>
      <c r="T209" s="2529"/>
    </row>
    <row r="210" spans="1:20">
      <c r="A210" s="1728"/>
      <c r="B210" s="1728" t="s">
        <v>1200</v>
      </c>
      <c r="C210" s="1728"/>
      <c r="D210" s="1728"/>
      <c r="E210" s="1728"/>
      <c r="F210" s="1728"/>
      <c r="G210" s="2529">
        <f>'Part III-A-Uses of Funds'!G100</f>
        <v>0</v>
      </c>
      <c r="H210" s="2529"/>
      <c r="I210" s="1728"/>
      <c r="J210" s="2529"/>
      <c r="K210" s="2529"/>
      <c r="L210" s="2518"/>
      <c r="M210" s="2529"/>
      <c r="N210" s="2529"/>
      <c r="O210" s="1728"/>
      <c r="P210" s="2529"/>
      <c r="Q210" s="2529"/>
      <c r="R210" s="1728"/>
      <c r="S210" s="2529">
        <f>'Part III-A-Uses of Funds'!S100</f>
        <v>0</v>
      </c>
      <c r="T210" s="2529"/>
    </row>
    <row r="211" spans="1:20">
      <c r="A211" s="1728"/>
      <c r="B211" s="1728" t="s">
        <v>2115</v>
      </c>
      <c r="C211" s="1728"/>
      <c r="D211" s="1728"/>
      <c r="E211" s="1728"/>
      <c r="F211" s="1728"/>
      <c r="G211" s="2529">
        <f>'Part III-A-Uses of Funds'!G101</f>
        <v>0</v>
      </c>
      <c r="H211" s="2529"/>
      <c r="I211" s="1728"/>
      <c r="J211" s="2529"/>
      <c r="K211" s="2529"/>
      <c r="L211" s="2518"/>
      <c r="M211" s="2529"/>
      <c r="N211" s="2529"/>
      <c r="O211" s="1728"/>
      <c r="P211" s="2529"/>
      <c r="Q211" s="2529"/>
      <c r="R211" s="1728"/>
      <c r="S211" s="2529">
        <f>'Part III-A-Uses of Funds'!S101</f>
        <v>0</v>
      </c>
      <c r="T211" s="2529"/>
    </row>
    <row r="212" spans="1:20" ht="15.95" customHeight="1">
      <c r="A212" s="2552" t="str">
        <f>IF(AND(G212&gt;0,OR(C212="",C212="&lt;Enter detailed description here; use Comments section if needed&gt;")),"X","")</f>
        <v/>
      </c>
      <c r="B212" s="2505" t="s">
        <v>4178</v>
      </c>
      <c r="C212" s="2473" t="str">
        <f>'Part III-A-Uses of Funds'!C102</f>
        <v>&lt;&lt; Enter description here; provide detail &amp; justification in tab Part III-b &gt;&gt;</v>
      </c>
      <c r="D212" s="2473"/>
      <c r="E212" s="2473"/>
      <c r="F212" s="2473"/>
      <c r="G212" s="2529">
        <f>'Part III-A-Uses of Funds'!G102</f>
        <v>0</v>
      </c>
      <c r="H212" s="2529"/>
      <c r="I212" s="1728"/>
      <c r="J212" s="2529"/>
      <c r="K212" s="2529"/>
      <c r="L212" s="2518"/>
      <c r="M212" s="2529"/>
      <c r="N212" s="2529"/>
      <c r="O212" s="1728"/>
      <c r="P212" s="2529"/>
      <c r="Q212" s="2529"/>
      <c r="R212" s="1728"/>
      <c r="S212" s="2529">
        <f>'Part III-A-Uses of Funds'!S102</f>
        <v>0</v>
      </c>
      <c r="T212" s="2529"/>
    </row>
    <row r="213" spans="1:20">
      <c r="A213" s="1728"/>
      <c r="B213" s="1728"/>
      <c r="C213" s="1728"/>
      <c r="D213" s="1728"/>
      <c r="E213" s="1728"/>
      <c r="F213" s="2553" t="s">
        <v>184</v>
      </c>
      <c r="G213" s="2529">
        <f>SUM(G207:G212)</f>
        <v>165500</v>
      </c>
      <c r="H213" s="2529"/>
      <c r="I213" s="1728"/>
      <c r="J213" s="2529"/>
      <c r="K213" s="2529"/>
      <c r="L213" s="2518"/>
      <c r="M213" s="2529"/>
      <c r="N213" s="2529"/>
      <c r="O213" s="1728"/>
      <c r="P213" s="2529"/>
      <c r="Q213" s="2529"/>
      <c r="R213" s="1728"/>
      <c r="S213" s="2529">
        <f>SUM(S207:S212)</f>
        <v>165500</v>
      </c>
      <c r="T213" s="2529"/>
    </row>
    <row r="214" spans="1:20">
      <c r="A214" s="1728"/>
      <c r="B214" s="2499" t="s">
        <v>677</v>
      </c>
      <c r="C214" s="1728"/>
      <c r="D214" s="1728"/>
      <c r="E214" s="1728"/>
      <c r="F214" s="1728"/>
      <c r="G214" s="1728"/>
      <c r="H214" s="1728"/>
      <c r="I214" s="1728"/>
      <c r="J214" s="2518"/>
      <c r="K214" s="2518"/>
      <c r="L214" s="1728"/>
      <c r="M214" s="2518"/>
      <c r="N214" s="2518"/>
      <c r="O214" s="2554" t="str">
        <f>B214</f>
        <v>DCA-RELATED COSTS</v>
      </c>
      <c r="P214" s="2518"/>
      <c r="Q214" s="2518"/>
      <c r="R214" s="1728"/>
      <c r="S214" s="2518"/>
      <c r="T214" s="2518"/>
    </row>
    <row r="215" spans="1:20">
      <c r="A215" s="1728"/>
      <c r="B215" s="1728" t="s">
        <v>5010</v>
      </c>
      <c r="C215" s="1728"/>
      <c r="D215" s="1728"/>
      <c r="E215" s="1728"/>
      <c r="F215" s="1728"/>
      <c r="G215" s="2529">
        <f>'Part III-A-Uses of Funds'!G105</f>
        <v>0</v>
      </c>
      <c r="H215" s="2529"/>
      <c r="I215" s="1728"/>
      <c r="J215" s="2518"/>
      <c r="K215" s="2518"/>
      <c r="L215" s="2518"/>
      <c r="M215" s="2518"/>
      <c r="N215" s="2518"/>
      <c r="O215" s="1728"/>
      <c r="P215" s="2518"/>
      <c r="Q215" s="2518"/>
      <c r="R215" s="1728"/>
      <c r="S215" s="2529">
        <f>'Part III-A-Uses of Funds'!S105</f>
        <v>0</v>
      </c>
      <c r="T215" s="2529"/>
    </row>
    <row r="216" spans="1:20">
      <c r="A216" s="1728"/>
      <c r="B216" s="1728" t="str">
        <f>CONCATENATE("Tax Credit Application Fee ($",'DCA Underwriting Assumptions'!$Q$58, " ForProf/JntVent, $",'DCA Underwriting Assumptions'!$Q$59, " NonProf)")</f>
        <v>Tax Credit Application Fee ($10000 ForProf/JntVent, $8000 NonProf)</v>
      </c>
      <c r="C216" s="1728"/>
      <c r="D216" s="1728"/>
      <c r="E216" s="1728"/>
      <c r="F216" s="1728"/>
      <c r="G216" s="2529">
        <f>'Part III-A-Uses of Funds'!G106</f>
        <v>10000</v>
      </c>
      <c r="H216" s="2529"/>
      <c r="I216" s="1728"/>
      <c r="J216" s="2518"/>
      <c r="K216" s="2518"/>
      <c r="L216" s="2586"/>
      <c r="M216" s="2518"/>
      <c r="N216" s="2518"/>
      <c r="O216" s="1728"/>
      <c r="P216" s="2518"/>
      <c r="Q216" s="2518"/>
      <c r="R216" s="1728"/>
      <c r="S216" s="2529">
        <f>'Part III-A-Uses of Funds'!S106</f>
        <v>10000</v>
      </c>
      <c r="T216" s="2529"/>
    </row>
    <row r="217" spans="1:20">
      <c r="A217" s="1728"/>
      <c r="B217" s="1728" t="s">
        <v>5011</v>
      </c>
      <c r="C217" s="1728"/>
      <c r="D217" s="1728"/>
      <c r="E217" s="1728"/>
      <c r="F217" s="1728"/>
      <c r="G217" s="2529">
        <f>'Part III-A-Uses of Funds'!G107</f>
        <v>3500</v>
      </c>
      <c r="H217" s="2529"/>
      <c r="I217" s="1728"/>
      <c r="J217" s="2518"/>
      <c r="K217" s="2518"/>
      <c r="L217" s="2586"/>
      <c r="M217" s="2518"/>
      <c r="N217" s="2518"/>
      <c r="O217" s="1728"/>
      <c r="P217" s="2518"/>
      <c r="Q217" s="2518"/>
      <c r="R217" s="1728"/>
      <c r="S217" s="2529">
        <f>'Part III-A-Uses of Funds'!S107</f>
        <v>3500</v>
      </c>
      <c r="T217" s="2529"/>
    </row>
    <row r="218" spans="1:20">
      <c r="A218" s="1728"/>
      <c r="B218" s="1728" t="s">
        <v>485</v>
      </c>
      <c r="C218" s="1728"/>
      <c r="D218" s="1728"/>
      <c r="E218" s="2587">
        <f>ROUNDUP('DCA Underwriting Assumptions'!$Q$70*J301,0)</f>
        <v>108000</v>
      </c>
      <c r="F218" s="2587"/>
      <c r="G218" s="2529">
        <f>'Part III-A-Uses of Funds'!G108</f>
        <v>108000</v>
      </c>
      <c r="H218" s="2529"/>
      <c r="I218" s="1728"/>
      <c r="J218" s="2588" t="str">
        <f>IF(E218&gt;G218,"WARNING!  LIHTC Allocation Fee proposed is below minimum required.","")</f>
        <v/>
      </c>
      <c r="K218" s="2518"/>
      <c r="L218" s="2518"/>
      <c r="M218" s="2518"/>
      <c r="N218" s="2518"/>
      <c r="O218" s="1728"/>
      <c r="P218" s="2518"/>
      <c r="Q218" s="2518"/>
      <c r="R218" s="1728"/>
      <c r="S218" s="2529">
        <f>'Part III-A-Uses of Funds'!S108</f>
        <v>108000</v>
      </c>
      <c r="T218" s="2529"/>
    </row>
    <row r="219" spans="1:20">
      <c r="A219" s="1728"/>
      <c r="B219" s="1728" t="s">
        <v>701</v>
      </c>
      <c r="C219" s="1728"/>
      <c r="D219" s="1728"/>
      <c r="E219" s="2587">
        <f>AF221+AF225</f>
        <v>0</v>
      </c>
      <c r="F219" s="2587"/>
      <c r="G219" s="2529">
        <f>'Part III-A-Uses of Funds'!G109</f>
        <v>64000</v>
      </c>
      <c r="H219" s="2529"/>
      <c r="I219" s="2589" t="str">
        <f>IF(E219&gt;G219,"WARNING!  LIHTC Compliance Fee proposed is below minimum required.","")</f>
        <v/>
      </c>
      <c r="J219" s="2589"/>
      <c r="K219" s="2589"/>
      <c r="L219" s="2589"/>
      <c r="M219" s="2589"/>
      <c r="N219" s="2589"/>
      <c r="O219" s="2589"/>
      <c r="P219" s="2589"/>
      <c r="Q219" s="2589"/>
      <c r="R219" s="2589"/>
      <c r="S219" s="2529">
        <f>'Part III-A-Uses of Funds'!S109</f>
        <v>64000</v>
      </c>
      <c r="T219" s="2529"/>
    </row>
    <row r="220" spans="1:20">
      <c r="A220" s="1728"/>
      <c r="B220" s="1728" t="s">
        <v>3363</v>
      </c>
      <c r="C220" s="1728"/>
      <c r="D220" s="1728"/>
      <c r="E220" s="1728"/>
      <c r="F220" s="2590"/>
      <c r="G220" s="2529">
        <f>'Part III-A-Uses of Funds'!G110</f>
        <v>0</v>
      </c>
      <c r="H220" s="2529"/>
      <c r="I220" s="2589"/>
      <c r="J220" s="2589"/>
      <c r="K220" s="2589"/>
      <c r="L220" s="2589"/>
      <c r="M220" s="2589"/>
      <c r="N220" s="2589"/>
      <c r="O220" s="2589"/>
      <c r="P220" s="2589"/>
      <c r="Q220" s="2589"/>
      <c r="R220" s="2589"/>
      <c r="S220" s="2529">
        <f>'Part III-A-Uses of Funds'!S110</f>
        <v>0</v>
      </c>
      <c r="T220" s="2529"/>
    </row>
    <row r="221" spans="1:20">
      <c r="A221" s="1728"/>
      <c r="B221" s="1728" t="s">
        <v>4741</v>
      </c>
      <c r="C221" s="1728"/>
      <c r="D221" s="1728"/>
      <c r="E221" s="1728"/>
      <c r="F221" s="2590">
        <f>ROUNDUP('DCA Underwriting Assumptions'!$Q$73,0)</f>
        <v>8000</v>
      </c>
      <c r="G221" s="2529">
        <f>'Part III-A-Uses of Funds'!G111</f>
        <v>8000</v>
      </c>
      <c r="H221" s="2529"/>
      <c r="I221" s="1728"/>
      <c r="J221" s="377"/>
      <c r="K221" s="377"/>
      <c r="L221" s="377"/>
      <c r="M221" s="377"/>
      <c r="N221" s="377"/>
      <c r="O221" s="377"/>
      <c r="P221" s="377"/>
      <c r="Q221" s="377"/>
      <c r="R221" s="1728"/>
      <c r="S221" s="2529">
        <f>'Part III-A-Uses of Funds'!S111</f>
        <v>8000</v>
      </c>
      <c r="T221" s="2529"/>
    </row>
    <row r="222" spans="1:20" ht="15.6" customHeight="1">
      <c r="A222" s="2552" t="str">
        <f>IF(AND(G222&gt;0,OR(C222="",C222="&lt;Enter detailed description here; use Comments section if needed&gt;")),"X","")</f>
        <v/>
      </c>
      <c r="B222" s="2505" t="s">
        <v>4174</v>
      </c>
      <c r="C222" s="2473" t="str">
        <f>'Part III-A-Uses of Funds'!C112</f>
        <v>&lt;&lt; Enter description here; provide detail &amp; justification in tab Part III-b &gt;&gt;</v>
      </c>
      <c r="D222" s="2473"/>
      <c r="E222" s="2473"/>
      <c r="F222" s="2473"/>
      <c r="G222" s="2529">
        <f>'Part III-A-Uses of Funds'!G112</f>
        <v>0</v>
      </c>
      <c r="H222" s="2529"/>
      <c r="I222" s="1728"/>
      <c r="J222" s="377"/>
      <c r="K222" s="377"/>
      <c r="L222" s="377"/>
      <c r="M222" s="377"/>
      <c r="N222" s="377"/>
      <c r="O222" s="377"/>
      <c r="P222" s="377"/>
      <c r="Q222" s="377"/>
      <c r="R222" s="1728"/>
      <c r="S222" s="2529">
        <f>'Part III-A-Uses of Funds'!S112</f>
        <v>0</v>
      </c>
      <c r="T222" s="2529"/>
    </row>
    <row r="223" spans="1:20" ht="15.95" customHeight="1">
      <c r="A223" s="2552" t="str">
        <f>IF(AND(G223&gt;0,OR(C223="",C223="&lt;Enter detailed description here; use Comments section if needed&gt;")),"X","")</f>
        <v/>
      </c>
      <c r="B223" s="2505" t="s">
        <v>4174</v>
      </c>
      <c r="C223" s="2473" t="str">
        <f>'Part III-A-Uses of Funds'!C113</f>
        <v>&lt;&lt; Enter description here; provide detail &amp; justification in tab Part III-b &gt;&gt;</v>
      </c>
      <c r="D223" s="2473"/>
      <c r="E223" s="2473"/>
      <c r="F223" s="2473"/>
      <c r="G223" s="2529">
        <f>'Part III-A-Uses of Funds'!G113</f>
        <v>0</v>
      </c>
      <c r="H223" s="2529"/>
      <c r="I223" s="1728"/>
      <c r="J223" s="377"/>
      <c r="K223" s="377"/>
      <c r="L223" s="377"/>
      <c r="M223" s="377"/>
      <c r="N223" s="377"/>
      <c r="O223" s="377"/>
      <c r="P223" s="377"/>
      <c r="Q223" s="377"/>
      <c r="R223" s="1728"/>
      <c r="S223" s="2529">
        <f>'Part III-A-Uses of Funds'!S113</f>
        <v>0</v>
      </c>
      <c r="T223" s="2529"/>
    </row>
    <row r="224" spans="1:20">
      <c r="A224" s="1728"/>
      <c r="B224" s="1728"/>
      <c r="C224" s="1728"/>
      <c r="D224" s="1728"/>
      <c r="E224" s="1728"/>
      <c r="F224" s="2553" t="s">
        <v>184</v>
      </c>
      <c r="G224" s="2529">
        <f>SUM(G215:G223)</f>
        <v>193500</v>
      </c>
      <c r="H224" s="2529"/>
      <c r="I224" s="1728"/>
      <c r="J224" s="2518"/>
      <c r="K224" s="2518"/>
      <c r="L224" s="2518"/>
      <c r="M224" s="2518"/>
      <c r="N224" s="2518"/>
      <c r="O224" s="1728"/>
      <c r="P224" s="2518"/>
      <c r="Q224" s="2518"/>
      <c r="R224" s="1728"/>
      <c r="S224" s="2529">
        <f>SUM(S215:S223)</f>
        <v>193500</v>
      </c>
      <c r="T224" s="2529"/>
    </row>
    <row r="225" spans="1:20">
      <c r="A225" s="1728"/>
      <c r="B225" s="2499" t="s">
        <v>2116</v>
      </c>
      <c r="C225" s="1728"/>
      <c r="D225" s="1728"/>
      <c r="E225" s="1728"/>
      <c r="F225" s="1728"/>
      <c r="G225" s="1728"/>
      <c r="H225" s="1728"/>
      <c r="I225" s="1728"/>
      <c r="J225" s="2518"/>
      <c r="K225" s="2518"/>
      <c r="L225" s="1728"/>
      <c r="M225" s="2518"/>
      <c r="N225" s="2518"/>
      <c r="O225" s="2554" t="str">
        <f>B225</f>
        <v>EQUITY COSTS</v>
      </c>
      <c r="P225" s="2518"/>
      <c r="Q225" s="2518"/>
      <c r="R225" s="1728"/>
      <c r="S225" s="2518"/>
      <c r="T225" s="2518"/>
    </row>
    <row r="226" spans="1:20">
      <c r="A226" s="1728"/>
      <c r="B226" s="1728" t="s">
        <v>267</v>
      </c>
      <c r="C226" s="1728"/>
      <c r="D226" s="1728"/>
      <c r="E226" s="1728"/>
      <c r="F226" s="1728"/>
      <c r="G226" s="2529">
        <f>'Part III-A-Uses of Funds'!G116</f>
        <v>0</v>
      </c>
      <c r="H226" s="2529"/>
      <c r="I226" s="1728"/>
      <c r="J226" s="2529"/>
      <c r="K226" s="2529"/>
      <c r="L226" s="2518"/>
      <c r="M226" s="2529"/>
      <c r="N226" s="2529"/>
      <c r="O226" s="1728"/>
      <c r="P226" s="2529"/>
      <c r="Q226" s="2529"/>
      <c r="R226" s="1728"/>
      <c r="S226" s="2529">
        <f>'Part III-A-Uses of Funds'!S116</f>
        <v>0</v>
      </c>
      <c r="T226" s="2529"/>
    </row>
    <row r="227" spans="1:20">
      <c r="A227" s="1728"/>
      <c r="B227" s="1728" t="s">
        <v>268</v>
      </c>
      <c r="C227" s="1728"/>
      <c r="D227" s="1728"/>
      <c r="E227" s="1728"/>
      <c r="F227" s="1728"/>
      <c r="G227" s="2529">
        <f>'Part III-A-Uses of Funds'!G117</f>
        <v>0</v>
      </c>
      <c r="H227" s="2529"/>
      <c r="I227" s="1728"/>
      <c r="J227" s="2529"/>
      <c r="K227" s="2529"/>
      <c r="L227" s="2518"/>
      <c r="M227" s="2529"/>
      <c r="N227" s="2529"/>
      <c r="O227" s="1728"/>
      <c r="P227" s="2529"/>
      <c r="Q227" s="2529"/>
      <c r="R227" s="1728"/>
      <c r="S227" s="2529">
        <f>'Part III-A-Uses of Funds'!S117</f>
        <v>0</v>
      </c>
      <c r="T227" s="2529"/>
    </row>
    <row r="228" spans="1:20">
      <c r="A228" s="1728"/>
      <c r="B228" s="1728" t="s">
        <v>2194</v>
      </c>
      <c r="C228" s="1728"/>
      <c r="D228" s="1728"/>
      <c r="E228" s="1728"/>
      <c r="F228" s="1728"/>
      <c r="G228" s="2529">
        <f>'Part III-A-Uses of Funds'!G118</f>
        <v>60000</v>
      </c>
      <c r="H228" s="2529"/>
      <c r="I228" s="1728"/>
      <c r="J228" s="2529"/>
      <c r="K228" s="2529"/>
      <c r="L228" s="2518"/>
      <c r="M228" s="2529"/>
      <c r="N228" s="2529"/>
      <c r="O228" s="1728"/>
      <c r="P228" s="2529"/>
      <c r="Q228" s="2529"/>
      <c r="R228" s="1728"/>
      <c r="S228" s="2529">
        <f>'Part III-A-Uses of Funds'!S118</f>
        <v>60000</v>
      </c>
      <c r="T228" s="2529"/>
    </row>
    <row r="229" spans="1:20" ht="15.95" customHeight="1">
      <c r="A229" s="2552" t="str">
        <f>IF(AND(G229&gt;0,OR(C229="",C229="&lt;Enter detailed description here; use Comments section if needed&gt;")),"X","")</f>
        <v/>
      </c>
      <c r="B229" s="2505" t="s">
        <v>4174</v>
      </c>
      <c r="C229" s="2473" t="str">
        <f>'Part III-A-Uses of Funds'!C119</f>
        <v>&lt;&lt; Enter description here; provide detail &amp; justification in tab Part III-b &gt;&gt;</v>
      </c>
      <c r="D229" s="2473"/>
      <c r="E229" s="2473"/>
      <c r="F229" s="2473"/>
      <c r="G229" s="2529">
        <f>'Part III-A-Uses of Funds'!G119</f>
        <v>0</v>
      </c>
      <c r="H229" s="2529"/>
      <c r="I229" s="1728"/>
      <c r="J229" s="2529"/>
      <c r="K229" s="2529"/>
      <c r="L229" s="2518"/>
      <c r="M229" s="2529"/>
      <c r="N229" s="2529"/>
      <c r="O229" s="1728"/>
      <c r="P229" s="2529"/>
      <c r="Q229" s="2529"/>
      <c r="R229" s="1728"/>
      <c r="S229" s="2529">
        <f>'Part III-A-Uses of Funds'!S119</f>
        <v>0</v>
      </c>
      <c r="T229" s="2529"/>
    </row>
    <row r="230" spans="1:20">
      <c r="A230" s="1728"/>
      <c r="B230" s="1728"/>
      <c r="C230" s="1728"/>
      <c r="D230" s="1728"/>
      <c r="E230" s="1728"/>
      <c r="F230" s="2553" t="s">
        <v>184</v>
      </c>
      <c r="G230" s="2529">
        <f>SUM(G226:G229)</f>
        <v>60000</v>
      </c>
      <c r="H230" s="2529"/>
      <c r="I230" s="1728"/>
      <c r="J230" s="2529"/>
      <c r="K230" s="2529"/>
      <c r="L230" s="2518"/>
      <c r="M230" s="2529"/>
      <c r="N230" s="2529"/>
      <c r="O230" s="1728"/>
      <c r="P230" s="2529"/>
      <c r="Q230" s="2529"/>
      <c r="R230" s="1728"/>
      <c r="S230" s="2529">
        <f>SUM(S226:S229)</f>
        <v>60000</v>
      </c>
      <c r="T230" s="2529"/>
    </row>
    <row r="231" spans="1:20" ht="13.5">
      <c r="A231" s="1728"/>
      <c r="B231" s="2499" t="s">
        <v>269</v>
      </c>
      <c r="C231" s="1728"/>
      <c r="D231" s="1728"/>
      <c r="E231" s="2542" t="s">
        <v>3802</v>
      </c>
      <c r="F231" s="2503"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8"/>
      <c r="H231" s="1728"/>
      <c r="I231" s="1728"/>
      <c r="J231" s="2518"/>
      <c r="K231" s="2529"/>
      <c r="L231" s="1728"/>
      <c r="M231" s="2518"/>
      <c r="N231" s="2529"/>
      <c r="O231" s="2554" t="str">
        <f>B231</f>
        <v>DEVELOPER'S FEE</v>
      </c>
      <c r="P231" s="2518"/>
      <c r="Q231" s="2529"/>
      <c r="R231" s="1728"/>
      <c r="S231" s="2518"/>
      <c r="T231" s="2529"/>
    </row>
    <row r="232" spans="1:20">
      <c r="A232" s="1728"/>
      <c r="B232" s="1728" t="s">
        <v>1719</v>
      </c>
      <c r="C232" s="1728"/>
      <c r="D232" s="1728"/>
      <c r="E232" s="1728"/>
      <c r="F232" s="2535">
        <f>IF($G$127=0,0,G232/$G$127)</f>
        <v>0</v>
      </c>
      <c r="G232" s="2529">
        <f>'Part III-A-Uses of Funds'!G122</f>
        <v>378000</v>
      </c>
      <c r="H232" s="2529"/>
      <c r="I232" s="1728"/>
      <c r="J232" s="2529">
        <f>'Part III-A-Uses of Funds'!J122</f>
        <v>378000</v>
      </c>
      <c r="K232" s="2529"/>
      <c r="L232" s="2554"/>
      <c r="M232" s="2529">
        <f>'Part III-A-Uses of Funds'!M122</f>
        <v>0</v>
      </c>
      <c r="N232" s="2529"/>
      <c r="O232" s="1728"/>
      <c r="P232" s="2529">
        <f>'Part III-A-Uses of Funds'!P122</f>
        <v>0</v>
      </c>
      <c r="Q232" s="2529"/>
      <c r="R232" s="1728"/>
      <c r="S232" s="2529">
        <f>'Part III-A-Uses of Funds'!S122</f>
        <v>0</v>
      </c>
      <c r="T232" s="2529"/>
    </row>
    <row r="233" spans="1:20">
      <c r="A233" s="1728"/>
      <c r="B233" s="1728" t="s">
        <v>3325</v>
      </c>
      <c r="C233" s="1728"/>
      <c r="D233" s="1728"/>
      <c r="E233" s="1728"/>
      <c r="F233" s="2591">
        <f>'Part III-A-Uses of Funds'!F123</f>
        <v>378000</v>
      </c>
      <c r="G233" s="2592" t="s">
        <v>4617</v>
      </c>
      <c r="H233" s="1728"/>
      <c r="I233" s="1728"/>
      <c r="J233" s="1728"/>
      <c r="K233" s="1728"/>
      <c r="L233" s="1728"/>
      <c r="M233" s="1728"/>
      <c r="N233" s="1728"/>
      <c r="O233" s="1728"/>
      <c r="P233" s="1728"/>
      <c r="Q233" s="1728"/>
      <c r="R233" s="1728"/>
      <c r="S233" s="1728"/>
      <c r="T233" s="1728"/>
    </row>
    <row r="234" spans="1:20">
      <c r="A234" s="1728"/>
      <c r="B234" s="1728" t="s">
        <v>1720</v>
      </c>
      <c r="C234" s="1728"/>
      <c r="D234" s="1728"/>
      <c r="E234" s="1728"/>
      <c r="F234" s="2535">
        <f>IF($G$127=0,0,G234/$G$127)</f>
        <v>0</v>
      </c>
      <c r="G234" s="2529">
        <f>'Part III-A-Uses of Funds'!G124</f>
        <v>0</v>
      </c>
      <c r="H234" s="2529"/>
      <c r="I234" s="1728"/>
      <c r="J234" s="2529">
        <f>'Part III-A-Uses of Funds'!J124</f>
        <v>0</v>
      </c>
      <c r="K234" s="2529"/>
      <c r="L234" s="2518"/>
      <c r="M234" s="2529">
        <f>'Part III-A-Uses of Funds'!M124</f>
        <v>0</v>
      </c>
      <c r="N234" s="2529"/>
      <c r="O234" s="1728"/>
      <c r="P234" s="2529">
        <f>'Part III-A-Uses of Funds'!P124</f>
        <v>0</v>
      </c>
      <c r="Q234" s="2529"/>
      <c r="R234" s="1728"/>
      <c r="S234" s="2529">
        <f>'Part III-A-Uses of Funds'!S124</f>
        <v>0</v>
      </c>
      <c r="T234" s="2529"/>
    </row>
    <row r="235" spans="1:20">
      <c r="A235" s="1728"/>
      <c r="B235" s="1728" t="s">
        <v>3079</v>
      </c>
      <c r="C235" s="1728"/>
      <c r="D235" s="1728"/>
      <c r="E235" s="1728"/>
      <c r="F235" s="2535">
        <f>IF($G$127=0,0,G235/$G$127)</f>
        <v>0</v>
      </c>
      <c r="G235" s="2529">
        <f>'Part III-A-Uses of Funds'!G125</f>
        <v>0</v>
      </c>
      <c r="H235" s="2529"/>
      <c r="I235" s="1728"/>
      <c r="J235" s="2529">
        <f>'Part III-A-Uses of Funds'!J125</f>
        <v>0</v>
      </c>
      <c r="K235" s="2529"/>
      <c r="L235" s="2518"/>
      <c r="M235" s="2529">
        <f>'Part III-A-Uses of Funds'!M125</f>
        <v>0</v>
      </c>
      <c r="N235" s="2529"/>
      <c r="O235" s="1728"/>
      <c r="P235" s="2529">
        <f>'Part III-A-Uses of Funds'!P125</f>
        <v>0</v>
      </c>
      <c r="Q235" s="2529"/>
      <c r="R235" s="1728"/>
      <c r="S235" s="2529">
        <f>'Part III-A-Uses of Funds'!S125</f>
        <v>0</v>
      </c>
      <c r="T235" s="2529"/>
    </row>
    <row r="236" spans="1:20">
      <c r="A236" s="1728"/>
      <c r="B236" s="1728" t="s">
        <v>1712</v>
      </c>
      <c r="C236" s="1728"/>
      <c r="D236" s="1728"/>
      <c r="E236" s="1728"/>
      <c r="F236" s="2535">
        <f>IF($G$127=0,0,G236/$G$127)</f>
        <v>0</v>
      </c>
      <c r="G236" s="2529">
        <f>'Part III-A-Uses of Funds'!G126</f>
        <v>1602000</v>
      </c>
      <c r="H236" s="2529"/>
      <c r="I236" s="1728"/>
      <c r="J236" s="2529">
        <f>'Part III-A-Uses of Funds'!J126</f>
        <v>1602000</v>
      </c>
      <c r="K236" s="2529"/>
      <c r="L236" s="2518"/>
      <c r="M236" s="2529">
        <f>'Part III-A-Uses of Funds'!M126</f>
        <v>0</v>
      </c>
      <c r="N236" s="2529"/>
      <c r="O236" s="1728"/>
      <c r="P236" s="2529">
        <f>'Part III-A-Uses of Funds'!P126</f>
        <v>0</v>
      </c>
      <c r="Q236" s="2529"/>
      <c r="R236" s="1728"/>
      <c r="S236" s="2529">
        <f>'Part III-A-Uses of Funds'!S126</f>
        <v>0</v>
      </c>
      <c r="T236" s="2529"/>
    </row>
    <row r="237" spans="1:20" ht="13.5">
      <c r="A237" s="2593" t="str">
        <f>IF(G237&gt;E237,"DF over limit!  Round down/Enter nbr.","")</f>
        <v/>
      </c>
      <c r="B237" s="2594"/>
      <c r="C237" s="1728"/>
      <c r="D237" s="2542" t="s">
        <v>3798</v>
      </c>
      <c r="E237" s="2595" t="str">
        <f>IF(AF232+AF235=0,"Fill in Rent Chart!",IF(F231="9%",AH232,IF(F231="4%",AH235,"Select App Type!")))</f>
        <v>Fill in Rent Chart!</v>
      </c>
      <c r="F237" s="2553" t="s">
        <v>184</v>
      </c>
      <c r="G237" s="2529">
        <f>SUM(G232:G236)</f>
        <v>1980000</v>
      </c>
      <c r="H237" s="2529"/>
      <c r="I237" s="1728"/>
      <c r="J237" s="2529">
        <f>SUM(J232:J236)</f>
        <v>1980000</v>
      </c>
      <c r="K237" s="2529"/>
      <c r="L237" s="2518"/>
      <c r="M237" s="2529">
        <f>SUM(M232:M236)</f>
        <v>0</v>
      </c>
      <c r="N237" s="2529"/>
      <c r="O237" s="1728"/>
      <c r="P237" s="2529">
        <f>SUM(P232:P236)</f>
        <v>0</v>
      </c>
      <c r="Q237" s="2529"/>
      <c r="R237" s="1728"/>
      <c r="S237" s="2529">
        <f>SUM(S232:S236)</f>
        <v>0</v>
      </c>
      <c r="T237" s="2529"/>
    </row>
    <row r="238" spans="1:20">
      <c r="A238" s="1728"/>
      <c r="B238" s="2499" t="s">
        <v>1229</v>
      </c>
      <c r="C238" s="1728"/>
      <c r="D238" s="1728"/>
      <c r="E238" s="1728"/>
      <c r="F238" s="1728"/>
      <c r="G238" s="1728"/>
      <c r="H238" s="1728"/>
      <c r="I238" s="1728"/>
      <c r="J238" s="2529"/>
      <c r="K238" s="2529"/>
      <c r="L238" s="1728"/>
      <c r="M238" s="2529"/>
      <c r="N238" s="2529"/>
      <c r="O238" s="2554" t="str">
        <f>B238</f>
        <v>START-UP AND RESERVES</v>
      </c>
      <c r="P238" s="2529"/>
      <c r="Q238" s="2529"/>
      <c r="R238" s="1728"/>
      <c r="S238" s="2529"/>
      <c r="T238" s="2529"/>
    </row>
    <row r="239" spans="1:20">
      <c r="A239" s="1728"/>
      <c r="B239" s="1728" t="s">
        <v>241</v>
      </c>
      <c r="C239" s="1728"/>
      <c r="D239" s="1728"/>
      <c r="E239" s="1728"/>
      <c r="F239" s="1728"/>
      <c r="G239" s="2529">
        <f>'Part III-A-Uses of Funds'!G129</f>
        <v>25000</v>
      </c>
      <c r="H239" s="2529"/>
      <c r="I239" s="1728"/>
      <c r="J239" s="2586"/>
      <c r="K239" s="2586"/>
      <c r="L239" s="2586"/>
      <c r="M239" s="2586"/>
      <c r="N239" s="2586"/>
      <c r="O239" s="1728"/>
      <c r="P239" s="2586"/>
      <c r="Q239" s="2586"/>
      <c r="R239" s="1728"/>
      <c r="S239" s="2529">
        <f>'Part III-A-Uses of Funds'!S129</f>
        <v>25000</v>
      </c>
      <c r="T239" s="2529"/>
    </row>
    <row r="240" spans="1:20">
      <c r="A240" s="1728"/>
      <c r="B240" s="1728" t="s">
        <v>1434</v>
      </c>
      <c r="C240" s="1728"/>
      <c r="D240" s="1728"/>
      <c r="E240" s="1728"/>
      <c r="F240" s="2596">
        <f>+'Part V-Revenues &amp; Expenses'!$Q$232*('DCA Underwriting Assumptions'!$Q$104/12)</f>
        <v>147458.75</v>
      </c>
      <c r="G240" s="2529">
        <f>'Part III-A-Uses of Funds'!G130</f>
        <v>148000</v>
      </c>
      <c r="H240" s="2529"/>
      <c r="I240" s="1728"/>
      <c r="J240" s="2597" t="str">
        <f>IF(E240&gt;G240,"WARNING! Rent-Up Reserves proposed is below minimum - add comment.","")</f>
        <v/>
      </c>
      <c r="K240" s="2597"/>
      <c r="L240" s="2518"/>
      <c r="M240" s="2529"/>
      <c r="N240" s="2529"/>
      <c r="O240" s="1728"/>
      <c r="P240" s="2529"/>
      <c r="Q240" s="2529"/>
      <c r="R240" s="1728"/>
      <c r="S240" s="2529">
        <f>'Part III-A-Uses of Funds'!S130</f>
        <v>148000</v>
      </c>
      <c r="T240" s="2529"/>
    </row>
    <row r="241" spans="1:20">
      <c r="A241" s="1728"/>
      <c r="B241" s="1728" t="s">
        <v>631</v>
      </c>
      <c r="C241" s="1728"/>
      <c r="D241" s="1728"/>
      <c r="E241" s="1728"/>
      <c r="F241" s="2596">
        <f>'Part V-Revenues &amp; Expenses'!$Q$232*('DCA Underwriting Assumptions'!$Q$103/12)+('Part VI-Pro Forma'!$B$26+'Part VI-Pro Forma'!$B$27+'Part VI-Pro Forma'!$B$28+'Part VI-Pro Forma'!$B$29)*'DCA Underwriting Assumptions'!$Q$102/(-12)</f>
        <v>498393.41158411361</v>
      </c>
      <c r="G241" s="2529">
        <f>'Part III-A-Uses of Funds'!G131</f>
        <v>511000</v>
      </c>
      <c r="H241" s="2529"/>
      <c r="I241" s="1728"/>
      <c r="J241" s="2597" t="str">
        <f>IF(E241&gt;G241,"WARNING! ODR proposed is below minimum - add comment.","")</f>
        <v/>
      </c>
      <c r="K241" s="2586"/>
      <c r="L241" s="2586"/>
      <c r="M241" s="2586"/>
      <c r="N241" s="2586"/>
      <c r="O241" s="1728"/>
      <c r="P241" s="2586"/>
      <c r="Q241" s="2586"/>
      <c r="R241" s="1728"/>
      <c r="S241" s="2529">
        <f>'Part III-A-Uses of Funds'!S131</f>
        <v>511000</v>
      </c>
      <c r="T241" s="2529"/>
    </row>
    <row r="242" spans="1:20">
      <c r="A242" s="1728"/>
      <c r="B242" s="1728" t="s">
        <v>1169</v>
      </c>
      <c r="C242" s="1728"/>
      <c r="D242" s="1728"/>
      <c r="E242" s="1728"/>
      <c r="F242" s="1728"/>
      <c r="G242" s="2529">
        <f>'Part III-A-Uses of Funds'!G132</f>
        <v>0</v>
      </c>
      <c r="H242" s="2529"/>
      <c r="I242" s="1728"/>
      <c r="J242" s="2586"/>
      <c r="K242" s="2586"/>
      <c r="L242" s="2586"/>
      <c r="M242" s="2586"/>
      <c r="N242" s="2586"/>
      <c r="O242" s="1728"/>
      <c r="P242" s="2586"/>
      <c r="Q242" s="2586"/>
      <c r="R242" s="1728"/>
      <c r="S242" s="2529">
        <f>'Part III-A-Uses of Funds'!S132</f>
        <v>0</v>
      </c>
      <c r="T242" s="2529"/>
    </row>
    <row r="243" spans="1:20">
      <c r="A243" s="1728"/>
      <c r="B243" s="1728" t="s">
        <v>1170</v>
      </c>
      <c r="C243" s="1728"/>
      <c r="D243" s="1728"/>
      <c r="E243" s="2555" t="s">
        <v>3053</v>
      </c>
      <c r="F243" s="2596">
        <f>IF('Part V-Revenues &amp; Expenses'!$P$67=0,0,G243/'Part V-Revenues &amp; Expenses'!$P$67)</f>
        <v>800</v>
      </c>
      <c r="G243" s="2529">
        <f>'Part III-A-Uses of Funds'!G133</f>
        <v>64000</v>
      </c>
      <c r="H243" s="2529"/>
      <c r="I243" s="1728"/>
      <c r="J243" s="2529">
        <f>'Part III-A-Uses of Funds'!J133</f>
        <v>64000</v>
      </c>
      <c r="K243" s="2529"/>
      <c r="L243" s="2518"/>
      <c r="M243" s="2529">
        <f>'Part III-A-Uses of Funds'!M133</f>
        <v>0</v>
      </c>
      <c r="N243" s="2529"/>
      <c r="O243" s="1728"/>
      <c r="P243" s="2529">
        <f>'Part III-A-Uses of Funds'!P133</f>
        <v>0</v>
      </c>
      <c r="Q243" s="2529"/>
      <c r="R243" s="1728"/>
      <c r="S243" s="2529">
        <f>'Part III-A-Uses of Funds'!S133</f>
        <v>0</v>
      </c>
      <c r="T243" s="2529"/>
    </row>
    <row r="244" spans="1:20" ht="15.95" customHeight="1">
      <c r="A244" s="2552" t="str">
        <f>IF(AND(G244&gt;0,OR(C244="",C244="&lt;Enter detailed description here; use Comments section if needed&gt;")),"X","")</f>
        <v/>
      </c>
      <c r="B244" s="2505" t="s">
        <v>4174</v>
      </c>
      <c r="C244" s="2473" t="str">
        <f>'Part III-A-Uses of Funds'!C134</f>
        <v>&lt;&lt; Enter description here; provide detail &amp; justification in tab Part III-b &gt;&gt;</v>
      </c>
      <c r="D244" s="2473"/>
      <c r="E244" s="2473"/>
      <c r="F244" s="2473"/>
      <c r="G244" s="2529">
        <f>'Part III-A-Uses of Funds'!G134</f>
        <v>0</v>
      </c>
      <c r="H244" s="2529"/>
      <c r="I244" s="1728"/>
      <c r="J244" s="2529">
        <f>'Part III-A-Uses of Funds'!J134</f>
        <v>0</v>
      </c>
      <c r="K244" s="2529"/>
      <c r="L244" s="2518"/>
      <c r="M244" s="2529">
        <f>'Part III-A-Uses of Funds'!M134</f>
        <v>0</v>
      </c>
      <c r="N244" s="2529"/>
      <c r="O244" s="1728"/>
      <c r="P244" s="2529">
        <f>'Part III-A-Uses of Funds'!P134</f>
        <v>0</v>
      </c>
      <c r="Q244" s="2529"/>
      <c r="R244" s="1728"/>
      <c r="S244" s="2529">
        <f>'Part III-A-Uses of Funds'!S134</f>
        <v>0</v>
      </c>
      <c r="T244" s="2529"/>
    </row>
    <row r="245" spans="1:20">
      <c r="A245" s="1728"/>
      <c r="B245" s="2598"/>
      <c r="C245" s="1728"/>
      <c r="D245" s="1728"/>
      <c r="E245" s="1728"/>
      <c r="F245" s="2553" t="s">
        <v>184</v>
      </c>
      <c r="G245" s="2529">
        <f>SUM(G239:G244)</f>
        <v>748000</v>
      </c>
      <c r="H245" s="2529"/>
      <c r="I245" s="1728"/>
      <c r="J245" s="2529">
        <f>SUM(J243:J244)</f>
        <v>64000</v>
      </c>
      <c r="K245" s="2529"/>
      <c r="L245" s="2518"/>
      <c r="M245" s="2529">
        <f>SUM(M243:M244)</f>
        <v>0</v>
      </c>
      <c r="N245" s="2529"/>
      <c r="O245" s="1728"/>
      <c r="P245" s="2529">
        <f>SUM(P243:P244)</f>
        <v>0</v>
      </c>
      <c r="Q245" s="2529"/>
      <c r="R245" s="1728"/>
      <c r="S245" s="2529">
        <f>SUM(S239:S244)</f>
        <v>684000</v>
      </c>
      <c r="T245" s="2529"/>
    </row>
    <row r="246" spans="1:20">
      <c r="A246" s="1728"/>
      <c r="B246" s="1728"/>
      <c r="C246" s="1728"/>
      <c r="D246" s="1728"/>
      <c r="E246" s="1728"/>
      <c r="F246" s="1728"/>
      <c r="G246" s="1728"/>
      <c r="H246" s="1728"/>
      <c r="I246" s="2599"/>
      <c r="J246" s="1728"/>
      <c r="K246" s="1728"/>
      <c r="L246" s="2599"/>
      <c r="M246" s="1728"/>
      <c r="N246" s="1728"/>
      <c r="O246" s="1728"/>
      <c r="P246" s="1728"/>
      <c r="Q246" s="1728"/>
      <c r="R246" s="1728"/>
      <c r="S246" s="1728"/>
      <c r="T246" s="1728"/>
    </row>
    <row r="247" spans="1:20">
      <c r="A247" s="1728"/>
      <c r="B247" s="1728"/>
      <c r="C247" s="1728"/>
      <c r="D247" s="2506"/>
      <c r="E247" s="2506"/>
      <c r="F247" s="1728"/>
      <c r="G247" s="1728"/>
      <c r="H247" s="1728"/>
      <c r="I247" s="2600"/>
      <c r="J247" s="2600"/>
      <c r="K247" s="2601"/>
      <c r="L247" s="2506"/>
      <c r="M247" s="1728"/>
      <c r="N247" s="1728"/>
      <c r="O247" s="1728"/>
      <c r="P247" s="1728"/>
      <c r="Q247" s="1728"/>
      <c r="R247" s="1728"/>
      <c r="S247" s="1728"/>
      <c r="T247" s="1728"/>
    </row>
    <row r="248" spans="1:20">
      <c r="A248" s="2500"/>
      <c r="B248" s="2500"/>
      <c r="C248" s="2500"/>
      <c r="D248" s="2500"/>
      <c r="E248" s="2500"/>
      <c r="F248" s="2500"/>
      <c r="G248" s="2500"/>
      <c r="H248" s="2500"/>
      <c r="I248" s="2500"/>
      <c r="J248" s="2500"/>
      <c r="K248" s="2500"/>
      <c r="L248" s="2500"/>
      <c r="M248" s="2500"/>
      <c r="N248" s="2500"/>
      <c r="O248" s="2500"/>
      <c r="P248" s="2500"/>
      <c r="Q248" s="2500"/>
      <c r="R248" s="2500"/>
      <c r="S248" s="2500"/>
      <c r="T248" s="2500"/>
    </row>
    <row r="249" spans="1:20" ht="14.45" customHeight="1">
      <c r="A249" s="2550" t="s">
        <v>572</v>
      </c>
      <c r="B249" s="2550" t="s">
        <v>5063</v>
      </c>
      <c r="C249" s="1728"/>
      <c r="D249" s="1728"/>
      <c r="E249" s="1728"/>
      <c r="F249" s="1728"/>
      <c r="G249" s="1728"/>
      <c r="H249" s="1728"/>
      <c r="I249" s="1728"/>
      <c r="J249" s="2499" t="s">
        <v>259</v>
      </c>
      <c r="K249" s="2499"/>
      <c r="L249" s="2529"/>
      <c r="M249" s="2551" t="s">
        <v>459</v>
      </c>
      <c r="N249" s="2551"/>
      <c r="O249" s="1728"/>
      <c r="P249" s="2499" t="s">
        <v>260</v>
      </c>
      <c r="Q249" s="2499"/>
      <c r="R249" s="1728"/>
      <c r="S249" s="2499" t="s">
        <v>261</v>
      </c>
      <c r="T249" s="2499"/>
    </row>
    <row r="250" spans="1:20">
      <c r="A250" s="1728"/>
      <c r="B250" s="1728"/>
      <c r="C250" s="1728"/>
      <c r="D250" s="1728"/>
      <c r="E250" s="1728"/>
      <c r="F250" s="1728"/>
      <c r="G250" s="2499" t="s">
        <v>95</v>
      </c>
      <c r="H250" s="2499"/>
      <c r="I250" s="1728"/>
      <c r="J250" s="2499"/>
      <c r="K250" s="2499"/>
      <c r="L250" s="2529"/>
      <c r="M250" s="2551"/>
      <c r="N250" s="2551"/>
      <c r="O250" s="1728"/>
      <c r="P250" s="2499"/>
      <c r="Q250" s="2499"/>
      <c r="R250" s="1728"/>
      <c r="S250" s="2499"/>
      <c r="T250" s="2499"/>
    </row>
    <row r="251" spans="1:20">
      <c r="A251" s="1728"/>
      <c r="B251" s="2499" t="s">
        <v>567</v>
      </c>
      <c r="C251" s="2506"/>
      <c r="D251" s="1728"/>
      <c r="E251" s="1728"/>
      <c r="F251" s="1728"/>
      <c r="G251" s="1728"/>
      <c r="H251" s="2600"/>
      <c r="I251" s="2600"/>
      <c r="J251" s="2529"/>
      <c r="K251" s="2529"/>
      <c r="L251" s="1728"/>
      <c r="M251" s="2529"/>
      <c r="N251" s="2529"/>
      <c r="O251" s="2554" t="str">
        <f>B251</f>
        <v>OTHER COSTS</v>
      </c>
      <c r="P251" s="2529"/>
      <c r="Q251" s="2529"/>
      <c r="R251" s="1728"/>
      <c r="S251" s="2529"/>
      <c r="T251" s="2529"/>
    </row>
    <row r="252" spans="1:20">
      <c r="A252" s="1728"/>
      <c r="B252" s="1728" t="s">
        <v>568</v>
      </c>
      <c r="C252" s="2506"/>
      <c r="D252" s="1728"/>
      <c r="E252" s="1728"/>
      <c r="F252" s="1728"/>
      <c r="G252" s="2529">
        <f>'Part III-A-Uses of Funds'!G142</f>
        <v>0</v>
      </c>
      <c r="H252" s="2529"/>
      <c r="I252" s="1728"/>
      <c r="J252" s="2529">
        <f>'Part III-A-Uses of Funds'!J142</f>
        <v>0</v>
      </c>
      <c r="K252" s="2529"/>
      <c r="L252" s="2554"/>
      <c r="M252" s="2529">
        <f>'Part III-A-Uses of Funds'!M142</f>
        <v>0</v>
      </c>
      <c r="N252" s="2529"/>
      <c r="O252" s="1728"/>
      <c r="P252" s="2529">
        <f>'Part III-A-Uses of Funds'!P142</f>
        <v>0</v>
      </c>
      <c r="Q252" s="2529"/>
      <c r="R252" s="1728"/>
      <c r="S252" s="2529">
        <f>'Part III-A-Uses of Funds'!S142</f>
        <v>0</v>
      </c>
      <c r="T252" s="2529"/>
    </row>
    <row r="253" spans="1:20" ht="15.95" customHeight="1">
      <c r="A253" s="2552" t="str">
        <f>IF(AND(G253&gt;0,OR(C253="",C253="&lt;Enter detailed description here; use Comments section if needed&gt;")),"X","")</f>
        <v/>
      </c>
      <c r="B253" s="2505" t="s">
        <v>4174</v>
      </c>
      <c r="C253" s="2473" t="str">
        <f>'Part III-A-Uses of Funds'!C143</f>
        <v>&lt;&lt; Enter description here; provide detail &amp; justification in tab Part III-b &gt;&gt;</v>
      </c>
      <c r="D253" s="2473"/>
      <c r="E253" s="2473"/>
      <c r="F253" s="2473"/>
      <c r="G253" s="2529">
        <f>'Part III-A-Uses of Funds'!G143</f>
        <v>0</v>
      </c>
      <c r="H253" s="2529"/>
      <c r="I253" s="1728"/>
      <c r="J253" s="2529">
        <f>'Part III-A-Uses of Funds'!J143</f>
        <v>0</v>
      </c>
      <c r="K253" s="2529"/>
      <c r="L253" s="2518"/>
      <c r="M253" s="2529">
        <f>'Part III-A-Uses of Funds'!M143</f>
        <v>0</v>
      </c>
      <c r="N253" s="2529"/>
      <c r="O253" s="1728"/>
      <c r="P253" s="2529">
        <f>'Part III-A-Uses of Funds'!P143</f>
        <v>0</v>
      </c>
      <c r="Q253" s="2529"/>
      <c r="R253" s="1728"/>
      <c r="S253" s="2529">
        <f>'Part III-A-Uses of Funds'!S143</f>
        <v>0</v>
      </c>
      <c r="T253" s="2529"/>
    </row>
    <row r="254" spans="1:20">
      <c r="A254" s="1728"/>
      <c r="B254" s="1728"/>
      <c r="C254" s="2506"/>
      <c r="D254" s="1728"/>
      <c r="E254" s="1728"/>
      <c r="F254" s="2553" t="s">
        <v>184</v>
      </c>
      <c r="G254" s="2529">
        <f>SUM(G252:G253)</f>
        <v>0</v>
      </c>
      <c r="H254" s="2529"/>
      <c r="I254" s="1728"/>
      <c r="J254" s="2529">
        <f>SUM(J252:J253)</f>
        <v>0</v>
      </c>
      <c r="K254" s="2529"/>
      <c r="L254" s="2518"/>
      <c r="M254" s="2529">
        <f>SUM(M252:M253)</f>
        <v>0</v>
      </c>
      <c r="N254" s="2529"/>
      <c r="O254" s="1728"/>
      <c r="P254" s="2529">
        <f>SUM(P252:P253)</f>
        <v>0</v>
      </c>
      <c r="Q254" s="2529"/>
      <c r="R254" s="1728"/>
      <c r="S254" s="2529">
        <f>SUM(S252:S253)</f>
        <v>0</v>
      </c>
      <c r="T254" s="2529"/>
    </row>
    <row r="255" spans="1:20">
      <c r="A255" s="1728"/>
      <c r="B255" s="1728"/>
      <c r="C255" s="2506"/>
      <c r="D255" s="1728"/>
      <c r="E255" s="1728"/>
      <c r="F255" s="1728"/>
      <c r="G255" s="1728"/>
      <c r="H255" s="2600"/>
      <c r="I255" s="2600"/>
      <c r="J255" s="1728"/>
      <c r="K255" s="1728"/>
      <c r="L255" s="1728"/>
      <c r="M255" s="1728"/>
      <c r="N255" s="1728"/>
      <c r="O255" s="1728"/>
      <c r="P255" s="1728"/>
      <c r="Q255" s="1728"/>
      <c r="R255" s="1728"/>
      <c r="S255" s="1728"/>
      <c r="T255" s="1728"/>
    </row>
    <row r="256" spans="1:20" ht="16.5">
      <c r="A256" s="1728"/>
      <c r="B256" s="2602" t="s">
        <v>5064</v>
      </c>
      <c r="C256" s="1728"/>
      <c r="D256" s="1728"/>
      <c r="E256" s="2555"/>
      <c r="F256" s="2603"/>
      <c r="G256" s="2551">
        <f>G128+G134+G138+G146+G151+G156+G165+G183+G196+G202+G213+G224+G230+G237+G245+G254</f>
        <v>27055140</v>
      </c>
      <c r="H256" s="2551"/>
      <c r="I256" s="1728"/>
      <c r="J256" s="2551">
        <f>J128+J134+J138+J146+J151+J156+J165+J183+J196+J202+J213+J224+J230+J237+J245+J254</f>
        <v>22931380</v>
      </c>
      <c r="K256" s="2551"/>
      <c r="L256" s="1728"/>
      <c r="M256" s="2551">
        <f>M128+M134+M138+M146+M151+M156+M165+M183+M196+M202+M213+M224+M230+M237+M245+M254</f>
        <v>0</v>
      </c>
      <c r="N256" s="2551"/>
      <c r="O256" s="1728"/>
      <c r="P256" s="2551">
        <f>P128+P134+P138+P146+P151+P156+P165+P183+P196+P202+P213+P224+P230+P237+P245+P254</f>
        <v>0</v>
      </c>
      <c r="Q256" s="2551"/>
      <c r="R256" s="1728"/>
      <c r="S256" s="2551">
        <f>S128+S134+S138+S146+S151+S156+S165+S183+S196+S202+S213+S224+S230+S237+S245+S254</f>
        <v>4123760</v>
      </c>
      <c r="T256" s="2551"/>
    </row>
    <row r="257" spans="1:20">
      <c r="A257" s="1728"/>
      <c r="B257" s="1728"/>
      <c r="C257" s="2506"/>
      <c r="D257" s="1728"/>
      <c r="E257" s="1728"/>
      <c r="F257" s="1728"/>
      <c r="G257" s="1728"/>
      <c r="H257" s="2600"/>
      <c r="I257" s="2600"/>
      <c r="J257" s="1728"/>
      <c r="K257" s="1728"/>
      <c r="L257" s="1728"/>
      <c r="M257" s="1728"/>
      <c r="N257" s="1728"/>
      <c r="O257" s="1728"/>
      <c r="P257" s="1728"/>
      <c r="Q257" s="1728"/>
      <c r="R257" s="1728"/>
      <c r="S257" s="1728"/>
      <c r="T257" s="1728"/>
    </row>
    <row r="258" spans="1:20">
      <c r="A258" s="1728"/>
      <c r="B258" s="2604" t="s">
        <v>5065</v>
      </c>
      <c r="C258" s="2568"/>
      <c r="D258" s="2605">
        <f>IF('Part V-Revenues &amp; Expenses'!$P$67=0,0,G256/'Part V-Revenues &amp; Expenses'!$P$67)</f>
        <v>338189.25</v>
      </c>
      <c r="E258" s="2605"/>
      <c r="F258" s="2585" t="s">
        <v>2480</v>
      </c>
      <c r="G258" s="2605">
        <f>IF('Part V-Revenues &amp; Expenses'!$K$179=0,0,G256/'Part V-Revenues &amp; Expenses'!$K$179)</f>
        <v>285.58758642529159</v>
      </c>
      <c r="H258" s="2605"/>
      <c r="I258" s="2599"/>
      <c r="J258" s="1728"/>
      <c r="K258" s="1728"/>
      <c r="L258" s="1728"/>
      <c r="M258" s="1728"/>
      <c r="N258" s="1728"/>
      <c r="O258" s="1728"/>
      <c r="P258" s="1728"/>
      <c r="Q258" s="1728"/>
      <c r="R258" s="1728"/>
      <c r="S258" s="1728"/>
      <c r="T258" s="1728"/>
    </row>
    <row r="259" spans="1:20">
      <c r="A259" s="1728"/>
      <c r="B259" s="2604"/>
      <c r="C259" s="2568"/>
      <c r="D259" s="2606"/>
      <c r="E259" s="2606"/>
      <c r="F259" s="2585"/>
      <c r="G259" s="2605"/>
      <c r="H259" s="2605"/>
      <c r="I259" s="2599"/>
      <c r="J259" s="1728"/>
      <c r="K259" s="1728"/>
      <c r="L259" s="1728"/>
      <c r="M259" s="1728"/>
      <c r="N259" s="1728"/>
      <c r="O259" s="1728"/>
      <c r="P259" s="1728"/>
      <c r="Q259" s="1728"/>
      <c r="R259" s="1728"/>
      <c r="S259" s="1728"/>
      <c r="T259" s="1728"/>
    </row>
    <row r="260" spans="1:20" ht="14.1" customHeight="1">
      <c r="A260" s="2550" t="s">
        <v>688</v>
      </c>
      <c r="B260" s="2607" t="s">
        <v>1339</v>
      </c>
      <c r="C260" s="2500"/>
      <c r="D260" s="2518"/>
      <c r="E260" s="2518"/>
      <c r="F260" s="2518"/>
      <c r="G260" s="1728"/>
      <c r="H260" s="1728"/>
      <c r="I260" s="2608"/>
      <c r="J260" s="2499" t="s">
        <v>259</v>
      </c>
      <c r="K260" s="2499"/>
      <c r="L260" s="1728"/>
      <c r="M260" s="2499" t="s">
        <v>94</v>
      </c>
      <c r="N260" s="2499"/>
      <c r="O260" s="1728"/>
      <c r="P260" s="2499" t="s">
        <v>260</v>
      </c>
      <c r="Q260" s="2499"/>
      <c r="R260" s="1728"/>
      <c r="S260" s="1728"/>
      <c r="T260" s="1728"/>
    </row>
    <row r="261" spans="1:20">
      <c r="A261" s="1728"/>
      <c r="B261" s="2509" t="s">
        <v>1889</v>
      </c>
      <c r="C261" s="1728"/>
      <c r="D261" s="2518"/>
      <c r="E261" s="2518"/>
      <c r="F261" s="1728"/>
      <c r="G261" s="1728"/>
      <c r="H261" s="1728"/>
      <c r="I261" s="2608"/>
      <c r="J261" s="2499"/>
      <c r="K261" s="2499"/>
      <c r="L261" s="2500"/>
      <c r="M261" s="2499"/>
      <c r="N261" s="2499"/>
      <c r="O261" s="1728"/>
      <c r="P261" s="2499"/>
      <c r="Q261" s="2499"/>
      <c r="R261" s="1728"/>
      <c r="S261" s="1728"/>
      <c r="T261" s="1728"/>
    </row>
    <row r="262" spans="1:20">
      <c r="A262" s="1728"/>
      <c r="B262" s="1728"/>
      <c r="C262" s="1728"/>
      <c r="D262" s="2506"/>
      <c r="E262" s="2506"/>
      <c r="F262" s="1728"/>
      <c r="G262" s="1728"/>
      <c r="H262" s="1728"/>
      <c r="I262" s="2600"/>
      <c r="J262" s="2600"/>
      <c r="K262" s="2601"/>
      <c r="L262" s="2506"/>
      <c r="M262" s="1728"/>
      <c r="N262" s="1728"/>
      <c r="O262" s="1728"/>
      <c r="P262" s="1728"/>
      <c r="Q262" s="1728"/>
      <c r="R262" s="1728"/>
      <c r="S262" s="1728"/>
      <c r="T262" s="1728"/>
    </row>
    <row r="263" spans="1:20">
      <c r="A263" s="1728"/>
      <c r="B263" s="2506" t="s">
        <v>138</v>
      </c>
      <c r="C263" s="1728"/>
      <c r="D263" s="1728"/>
      <c r="E263" s="1728"/>
      <c r="F263" s="1728"/>
      <c r="G263" s="1728"/>
      <c r="H263" s="1728"/>
      <c r="I263" s="2608"/>
      <c r="J263" s="2529">
        <f>'Part III-A-Uses of Funds'!J153</f>
        <v>0</v>
      </c>
      <c r="K263" s="2529"/>
      <c r="L263" s="1728"/>
      <c r="M263" s="1728"/>
      <c r="N263" s="1728"/>
      <c r="O263" s="1728"/>
      <c r="P263" s="2529">
        <f>'Part III-A-Uses of Funds'!P153</f>
        <v>0</v>
      </c>
      <c r="Q263" s="2529"/>
      <c r="R263" s="1728"/>
      <c r="S263" s="1728"/>
      <c r="T263" s="1728"/>
    </row>
    <row r="264" spans="1:20">
      <c r="A264" s="1728"/>
      <c r="B264" s="1728" t="s">
        <v>1993</v>
      </c>
      <c r="C264" s="1728"/>
      <c r="D264" s="1728"/>
      <c r="E264" s="1728"/>
      <c r="F264" s="1728"/>
      <c r="G264" s="1728"/>
      <c r="H264" s="1728"/>
      <c r="I264" s="2608"/>
      <c r="J264" s="2529">
        <f>'Part III-A-Uses of Funds'!J154</f>
        <v>0</v>
      </c>
      <c r="K264" s="2529"/>
      <c r="L264" s="1728"/>
      <c r="M264" s="1728"/>
      <c r="N264" s="1728"/>
      <c r="O264" s="1728"/>
      <c r="P264" s="2529">
        <f>'Part III-A-Uses of Funds'!P154</f>
        <v>0</v>
      </c>
      <c r="Q264" s="2529"/>
      <c r="R264" s="1728"/>
      <c r="S264" s="1728"/>
      <c r="T264" s="1728"/>
    </row>
    <row r="265" spans="1:20">
      <c r="A265" s="1728"/>
      <c r="B265" s="1728" t="s">
        <v>1722</v>
      </c>
      <c r="C265" s="1728"/>
      <c r="D265" s="1728"/>
      <c r="E265" s="1728"/>
      <c r="F265" s="1728"/>
      <c r="G265" s="1728"/>
      <c r="H265" s="1728"/>
      <c r="I265" s="2608"/>
      <c r="J265" s="2529">
        <f>'Part III-A-Uses of Funds'!J155</f>
        <v>0</v>
      </c>
      <c r="K265" s="2529"/>
      <c r="L265" s="1728"/>
      <c r="M265" s="1728"/>
      <c r="N265" s="1728"/>
      <c r="O265" s="1728"/>
      <c r="P265" s="2529">
        <f>'Part III-A-Uses of Funds'!P155</f>
        <v>0</v>
      </c>
      <c r="Q265" s="2529"/>
      <c r="R265" s="1728"/>
      <c r="S265" s="1728"/>
      <c r="T265" s="1728"/>
    </row>
    <row r="266" spans="1:20">
      <c r="A266" s="1728"/>
      <c r="B266" s="1728" t="s">
        <v>1723</v>
      </c>
      <c r="C266" s="1728"/>
      <c r="D266" s="1728"/>
      <c r="E266" s="1728"/>
      <c r="F266" s="1728"/>
      <c r="G266" s="1728"/>
      <c r="H266" s="1728"/>
      <c r="I266" s="2608"/>
      <c r="J266" s="2529">
        <f>'Part III-A-Uses of Funds'!J156</f>
        <v>0</v>
      </c>
      <c r="K266" s="2529"/>
      <c r="L266" s="1728"/>
      <c r="M266" s="1728"/>
      <c r="N266" s="1728"/>
      <c r="O266" s="1728"/>
      <c r="P266" s="2529">
        <f>'Part III-A-Uses of Funds'!P156</f>
        <v>0</v>
      </c>
      <c r="Q266" s="2529"/>
      <c r="R266" s="1728"/>
      <c r="S266" s="1728"/>
      <c r="T266" s="1728"/>
    </row>
    <row r="267" spans="1:20">
      <c r="A267" s="1728"/>
      <c r="B267" s="1728" t="s">
        <v>243</v>
      </c>
      <c r="C267" s="1728"/>
      <c r="D267" s="1728"/>
      <c r="E267" s="1728"/>
      <c r="F267" s="1728"/>
      <c r="G267" s="1728"/>
      <c r="H267" s="1728"/>
      <c r="I267" s="2608"/>
      <c r="J267" s="2529">
        <f>'Part III-A-Uses of Funds'!J157</f>
        <v>0</v>
      </c>
      <c r="K267" s="2529"/>
      <c r="L267" s="1728"/>
      <c r="M267" s="1728"/>
      <c r="N267" s="1728"/>
      <c r="O267" s="1728"/>
      <c r="P267" s="2529">
        <f>'Part III-A-Uses of Funds'!P157</f>
        <v>0</v>
      </c>
      <c r="Q267" s="2529"/>
      <c r="R267" s="1728"/>
      <c r="S267" s="1728"/>
      <c r="T267" s="1728"/>
    </row>
    <row r="268" spans="1:20" ht="13.5" customHeight="1">
      <c r="A268" s="1728"/>
      <c r="B268" s="1728" t="s">
        <v>1494</v>
      </c>
      <c r="C268" s="1728" t="str">
        <f>'Part III-A-Uses of Funds'!C158</f>
        <v>&lt;Enter detailed description here; use Comments section if needed&gt;</v>
      </c>
      <c r="D268" s="1728"/>
      <c r="E268" s="1728"/>
      <c r="F268" s="1728"/>
      <c r="G268" s="1728"/>
      <c r="H268" s="1728"/>
      <c r="I268" s="1728"/>
      <c r="J268" s="2529">
        <f>'Part III-A-Uses of Funds'!J158</f>
        <v>0</v>
      </c>
      <c r="K268" s="2529"/>
      <c r="L268" s="1728"/>
      <c r="M268" s="1728"/>
      <c r="N268" s="1728"/>
      <c r="O268" s="1728"/>
      <c r="P268" s="2529">
        <f>'Part III-A-Uses of Funds'!P158</f>
        <v>0</v>
      </c>
      <c r="Q268" s="2529"/>
      <c r="R268" s="1728"/>
      <c r="S268" s="1728"/>
      <c r="T268" s="1728"/>
    </row>
    <row r="269" spans="1:20">
      <c r="A269" s="1728"/>
      <c r="B269" s="2499" t="s">
        <v>1724</v>
      </c>
      <c r="C269" s="2609"/>
      <c r="D269" s="1728"/>
      <c r="E269" s="1728"/>
      <c r="F269" s="1728"/>
      <c r="G269" s="1728"/>
      <c r="H269" s="1728"/>
      <c r="I269" s="1728"/>
      <c r="J269" s="2533">
        <f>SUM(J263:K268)</f>
        <v>0</v>
      </c>
      <c r="K269" s="2533"/>
      <c r="L269" s="1728"/>
      <c r="M269" s="1728"/>
      <c r="N269" s="1728"/>
      <c r="O269" s="1728"/>
      <c r="P269" s="2533">
        <f>SUM(P263:Q268)</f>
        <v>0</v>
      </c>
      <c r="Q269" s="2533"/>
      <c r="R269" s="1728"/>
      <c r="S269" s="1728"/>
      <c r="T269" s="1728"/>
    </row>
    <row r="270" spans="1:20">
      <c r="A270" s="1728"/>
      <c r="B270" s="1728"/>
      <c r="C270" s="1728"/>
      <c r="D270" s="1728"/>
      <c r="E270" s="1728"/>
      <c r="F270" s="1728"/>
      <c r="G270" s="1728"/>
      <c r="H270" s="1728"/>
      <c r="I270" s="1728"/>
      <c r="J270" s="1728"/>
      <c r="K270" s="1728"/>
      <c r="L270" s="1728"/>
      <c r="M270" s="1728"/>
      <c r="N270" s="1728"/>
      <c r="O270" s="1728"/>
      <c r="P270" s="1728"/>
      <c r="Q270" s="1728"/>
      <c r="R270" s="1728"/>
      <c r="S270" s="1728"/>
      <c r="T270" s="1728"/>
    </row>
    <row r="271" spans="1:20">
      <c r="A271" s="1728"/>
      <c r="B271" s="2499" t="s">
        <v>2154</v>
      </c>
      <c r="C271" s="1728"/>
      <c r="D271" s="1728"/>
      <c r="E271" s="1728"/>
      <c r="F271" s="1728"/>
      <c r="G271" s="1728"/>
      <c r="H271" s="1728"/>
      <c r="I271" s="1728"/>
      <c r="J271" s="1728"/>
      <c r="K271" s="1728"/>
      <c r="L271" s="1728"/>
      <c r="M271" s="1728"/>
      <c r="N271" s="1728"/>
      <c r="O271" s="1728"/>
      <c r="P271" s="1728"/>
      <c r="Q271" s="1728"/>
      <c r="R271" s="1728"/>
      <c r="S271" s="1728"/>
      <c r="T271" s="1728"/>
    </row>
    <row r="272" spans="1:20" ht="12.95" customHeight="1">
      <c r="A272" s="1728"/>
      <c r="B272" s="1728" t="s">
        <v>1660</v>
      </c>
      <c r="C272" s="1728"/>
      <c r="D272" s="1728"/>
      <c r="E272" s="1728"/>
      <c r="F272" s="1728"/>
      <c r="G272" s="1728"/>
      <c r="H272" s="1728"/>
      <c r="I272" s="1728"/>
      <c r="J272" s="2534">
        <f>J256</f>
        <v>22931380</v>
      </c>
      <c r="K272" s="2534"/>
      <c r="L272" s="1728"/>
      <c r="M272" s="2534">
        <f>M256</f>
        <v>0</v>
      </c>
      <c r="N272" s="2534"/>
      <c r="O272" s="1728"/>
      <c r="P272" s="2534">
        <f>P256</f>
        <v>0</v>
      </c>
      <c r="Q272" s="2534"/>
      <c r="R272" s="2610" t="s">
        <v>4753</v>
      </c>
      <c r="S272" s="2610"/>
      <c r="T272" s="2610"/>
    </row>
    <row r="273" spans="1:20">
      <c r="A273" s="1728"/>
      <c r="B273" s="1728" t="s">
        <v>2047</v>
      </c>
      <c r="C273" s="1728"/>
      <c r="D273" s="1728"/>
      <c r="E273" s="1728"/>
      <c r="F273" s="1728"/>
      <c r="G273" s="1728"/>
      <c r="H273" s="1728"/>
      <c r="I273" s="1728"/>
      <c r="J273" s="2534">
        <f>J269</f>
        <v>0</v>
      </c>
      <c r="K273" s="2534"/>
      <c r="L273" s="1728"/>
      <c r="M273" s="2534"/>
      <c r="N273" s="2534"/>
      <c r="O273" s="1728"/>
      <c r="P273" s="2534">
        <f>P269</f>
        <v>0</v>
      </c>
      <c r="Q273" s="2534"/>
      <c r="R273" s="2610"/>
      <c r="S273" s="2610"/>
      <c r="T273" s="2610"/>
    </row>
    <row r="274" spans="1:20" ht="12.95" customHeight="1">
      <c r="A274" s="1728"/>
      <c r="B274" s="1728" t="s">
        <v>2048</v>
      </c>
      <c r="C274" s="1728"/>
      <c r="D274" s="1728"/>
      <c r="E274" s="1728"/>
      <c r="F274" s="1728"/>
      <c r="G274" s="1728"/>
      <c r="H274" s="1728"/>
      <c r="I274" s="1728"/>
      <c r="J274" s="2534">
        <f>J272-J273</f>
        <v>22931380</v>
      </c>
      <c r="K274" s="2534"/>
      <c r="L274" s="1728"/>
      <c r="M274" s="2534">
        <f>M272</f>
        <v>0</v>
      </c>
      <c r="N274" s="2534"/>
      <c r="O274" s="1728"/>
      <c r="P274" s="2534">
        <f>P272-P273</f>
        <v>0</v>
      </c>
      <c r="Q274" s="2534"/>
      <c r="R274" s="2505" t="str">
        <f>'Part III-A-Uses of Funds'!R164</f>
        <v>&lt;&lt; Select Category of Eligibility&gt;&gt;</v>
      </c>
      <c r="S274" s="2505"/>
      <c r="T274" s="2505"/>
    </row>
    <row r="275" spans="1:20">
      <c r="A275" s="1728"/>
      <c r="B275" s="1728" t="s">
        <v>1388</v>
      </c>
      <c r="C275" s="1728"/>
      <c r="D275" s="1728"/>
      <c r="E275" s="1728"/>
      <c r="F275" s="1728"/>
      <c r="G275" s="1533" t="s">
        <v>1591</v>
      </c>
      <c r="H275" s="1728" t="str">
        <f>'Part III-A-Uses of Funds'!H165</f>
        <v>&lt;&lt;Select&gt;&gt;</v>
      </c>
      <c r="I275" s="1728"/>
      <c r="J275" s="2611">
        <f>'Part III-A-Uses of Funds'!J165</f>
        <v>1</v>
      </c>
      <c r="K275" s="2611"/>
      <c r="L275" s="1728"/>
      <c r="M275" s="2611"/>
      <c r="N275" s="2611"/>
      <c r="O275" s="1728"/>
      <c r="P275" s="2611">
        <f>'Part III-A-Uses of Funds'!P165</f>
        <v>0</v>
      </c>
      <c r="Q275" s="2611"/>
      <c r="R275" s="2505"/>
      <c r="S275" s="2505"/>
      <c r="T275" s="2505"/>
    </row>
    <row r="276" spans="1:20">
      <c r="A276" s="1728"/>
      <c r="B276" s="1728" t="s">
        <v>1898</v>
      </c>
      <c r="C276" s="1728"/>
      <c r="D276" s="1728"/>
      <c r="E276" s="1728"/>
      <c r="F276" s="1728"/>
      <c r="G276" s="1728"/>
      <c r="H276" s="1728"/>
      <c r="I276" s="1728"/>
      <c r="J276" s="2534">
        <f>J274*J275</f>
        <v>22931380</v>
      </c>
      <c r="K276" s="2534"/>
      <c r="L276" s="1728"/>
      <c r="M276" s="2534">
        <f>+M274</f>
        <v>0</v>
      </c>
      <c r="N276" s="2534"/>
      <c r="O276" s="1728"/>
      <c r="P276" s="2534">
        <f>P274*P275</f>
        <v>0</v>
      </c>
      <c r="Q276" s="2534"/>
      <c r="R276" s="2505"/>
      <c r="S276" s="2505"/>
      <c r="T276" s="2505"/>
    </row>
    <row r="277" spans="1:20">
      <c r="A277" s="1728"/>
      <c r="B277" s="1728" t="s">
        <v>2333</v>
      </c>
      <c r="C277" s="1728"/>
      <c r="D277" s="1728"/>
      <c r="E277" s="1728"/>
      <c r="F277" s="1728"/>
      <c r="G277" s="1728"/>
      <c r="H277" s="1728"/>
      <c r="I277" s="1728"/>
      <c r="J277" s="2612">
        <f>MIN('Part V-Revenues &amp; Expenses'!$P$63/'Part V-Revenues &amp; Expenses'!$P$65,'Part V-Revenues &amp; Expenses'!$P$168/'Part V-Revenues &amp; Expenses'!$P$170)</f>
        <v>0.75</v>
      </c>
      <c r="K277" s="2612"/>
      <c r="L277" s="1728"/>
      <c r="M277" s="2612">
        <f>MIN('Part V-Revenues &amp; Expenses'!$P$63/'Part V-Revenues &amp; Expenses'!$P$65,'Part V-Revenues &amp; Expenses'!$P$168/'Part V-Revenues &amp; Expenses'!$P$170)</f>
        <v>0.75</v>
      </c>
      <c r="N277" s="2612"/>
      <c r="O277" s="1728"/>
      <c r="P277" s="2612">
        <f>MIN('Part V-Revenues &amp; Expenses'!$P$63/'Part V-Revenues &amp; Expenses'!$P$65,'Part V-Revenues &amp; Expenses'!$P$168/'Part V-Revenues &amp; Expenses'!$P$170)</f>
        <v>0.75</v>
      </c>
      <c r="Q277" s="2612"/>
      <c r="R277" s="2613" t="str">
        <f>'Part III-A-Uses of Funds'!R167</f>
        <v>&lt;&lt;Select % of Eligible Basis&gt;&gt;</v>
      </c>
      <c r="S277" s="2613"/>
      <c r="T277" s="2613"/>
    </row>
    <row r="278" spans="1:20">
      <c r="A278" s="1728"/>
      <c r="B278" s="1728" t="s">
        <v>1890</v>
      </c>
      <c r="C278" s="1728"/>
      <c r="D278" s="1728"/>
      <c r="E278" s="1728"/>
      <c r="F278" s="1728"/>
      <c r="G278" s="1728"/>
      <c r="H278" s="1728"/>
      <c r="I278" s="1728"/>
      <c r="J278" s="2534">
        <f>J276*J277</f>
        <v>17198535</v>
      </c>
      <c r="K278" s="2534"/>
      <c r="L278" s="1728"/>
      <c r="M278" s="2534">
        <f>M276*M277</f>
        <v>0</v>
      </c>
      <c r="N278" s="2534"/>
      <c r="O278" s="1728"/>
      <c r="P278" s="2534">
        <f>P276*P277</f>
        <v>0</v>
      </c>
      <c r="Q278" s="2534"/>
      <c r="R278" s="1728"/>
      <c r="S278" s="1728"/>
      <c r="T278" s="1728"/>
    </row>
    <row r="279" spans="1:20">
      <c r="A279" s="1728"/>
      <c r="B279" s="1728" t="s">
        <v>1891</v>
      </c>
      <c r="C279" s="1728"/>
      <c r="D279" s="1728"/>
      <c r="E279" s="1728"/>
      <c r="F279" s="1728"/>
      <c r="G279" s="1728"/>
      <c r="H279" s="1728"/>
      <c r="I279" s="1728"/>
      <c r="J279" s="2611">
        <f>'Part III-A-Uses of Funds'!J169</f>
        <v>0.09</v>
      </c>
      <c r="K279" s="2611"/>
      <c r="L279" s="1728"/>
      <c r="M279" s="2611">
        <f>'Part III-A-Uses of Funds'!M169</f>
        <v>0</v>
      </c>
      <c r="N279" s="2611"/>
      <c r="O279" s="1728"/>
      <c r="P279" s="2611">
        <f>'Part III-A-Uses of Funds'!P169</f>
        <v>0</v>
      </c>
      <c r="Q279" s="2611"/>
      <c r="R279" s="1728"/>
      <c r="S279" s="1728"/>
      <c r="T279" s="1728"/>
    </row>
    <row r="280" spans="1:20">
      <c r="A280" s="1728"/>
      <c r="B280" s="1728" t="s">
        <v>2334</v>
      </c>
      <c r="C280" s="1728"/>
      <c r="D280" s="1728"/>
      <c r="E280" s="1728"/>
      <c r="F280" s="1728"/>
      <c r="G280" s="1728"/>
      <c r="H280" s="1728"/>
      <c r="I280" s="1728"/>
      <c r="J280" s="2534">
        <f>J278*J279</f>
        <v>1547868.15</v>
      </c>
      <c r="K280" s="2534"/>
      <c r="L280" s="1728"/>
      <c r="M280" s="2534">
        <f>M278*M279</f>
        <v>0</v>
      </c>
      <c r="N280" s="2534"/>
      <c r="O280" s="1728"/>
      <c r="P280" s="2534">
        <f>P278*P279</f>
        <v>0</v>
      </c>
      <c r="Q280" s="2534"/>
      <c r="R280" s="1728"/>
      <c r="S280" s="1728"/>
      <c r="T280" s="1728"/>
    </row>
    <row r="281" spans="1:20">
      <c r="A281" s="1728"/>
      <c r="B281" s="2499" t="s">
        <v>1337</v>
      </c>
      <c r="C281" s="1728"/>
      <c r="D281" s="1728"/>
      <c r="E281" s="1728"/>
      <c r="F281" s="1728"/>
      <c r="G281" s="1728"/>
      <c r="H281" s="1728"/>
      <c r="I281" s="1728"/>
      <c r="J281" s="2533">
        <f>ROUNDDOWN(J280+M280+P280,0)</f>
        <v>1547868</v>
      </c>
      <c r="K281" s="2533"/>
      <c r="L281" s="2533"/>
      <c r="M281" s="2533"/>
      <c r="N281" s="2533"/>
      <c r="O281" s="2533"/>
      <c r="P281" s="2533"/>
      <c r="Q281" s="2533"/>
      <c r="R281" s="1728"/>
      <c r="S281" s="1728"/>
      <c r="T281" s="1728"/>
    </row>
    <row r="282" spans="1:20">
      <c r="A282" s="1728"/>
      <c r="B282" s="2614"/>
      <c r="C282" s="1728"/>
      <c r="D282" s="1728"/>
      <c r="E282" s="1728"/>
      <c r="F282" s="1728"/>
      <c r="G282" s="1728"/>
      <c r="H282" s="1728"/>
      <c r="I282" s="1728"/>
      <c r="J282" s="1728"/>
      <c r="K282" s="1728"/>
      <c r="L282" s="2539"/>
      <c r="M282" s="2539"/>
      <c r="N282" s="2539"/>
      <c r="O282" s="2539"/>
      <c r="P282" s="1728"/>
      <c r="Q282" s="1728"/>
      <c r="R282" s="1728"/>
      <c r="S282" s="1728"/>
      <c r="T282" s="1728"/>
    </row>
    <row r="283" spans="1:20" ht="16.5">
      <c r="A283" s="2615" t="s">
        <v>690</v>
      </c>
      <c r="B283" s="2615" t="s">
        <v>1340</v>
      </c>
      <c r="C283" s="1728"/>
      <c r="D283" s="1728"/>
      <c r="E283" s="1728"/>
      <c r="F283" s="1728"/>
      <c r="G283" s="1728"/>
      <c r="H283" s="2600"/>
      <c r="I283" s="2600"/>
      <c r="J283" s="1728"/>
      <c r="K283" s="1728"/>
      <c r="L283" s="1728"/>
      <c r="M283" s="2616"/>
      <c r="N283" s="1728"/>
      <c r="O283" s="1728"/>
      <c r="P283" s="1728"/>
      <c r="Q283" s="1728"/>
      <c r="R283" s="1728"/>
      <c r="S283" s="1728"/>
      <c r="T283" s="1728"/>
    </row>
    <row r="284" spans="1:20">
      <c r="A284" s="1728"/>
      <c r="B284" s="1728"/>
      <c r="C284" s="1728"/>
      <c r="D284" s="1728"/>
      <c r="E284" s="1728"/>
      <c r="F284" s="1728"/>
      <c r="G284" s="1728"/>
      <c r="H284" s="2600"/>
      <c r="I284" s="2600"/>
      <c r="J284" s="1728"/>
      <c r="K284" s="1728"/>
      <c r="L284" s="1728"/>
      <c r="M284" s="2616"/>
      <c r="N284" s="1728"/>
      <c r="O284" s="2500"/>
      <c r="P284" s="2500"/>
      <c r="Q284" s="2500"/>
      <c r="R284" s="2500"/>
      <c r="S284" s="2500"/>
      <c r="T284" s="2500"/>
    </row>
    <row r="285" spans="1:20">
      <c r="A285" s="1728"/>
      <c r="B285" s="2499" t="s">
        <v>167</v>
      </c>
      <c r="C285" s="1728"/>
      <c r="D285" s="1728"/>
      <c r="E285" s="1728"/>
      <c r="F285" s="1728"/>
      <c r="G285" s="1728"/>
      <c r="H285" s="1728"/>
      <c r="I285" s="1728"/>
      <c r="J285" s="1728"/>
      <c r="K285" s="1728"/>
      <c r="L285" s="1728"/>
      <c r="M285" s="1728"/>
      <c r="N285" s="1728"/>
      <c r="O285" s="1728"/>
      <c r="P285" s="1728"/>
      <c r="Q285" s="1728"/>
      <c r="R285" s="1728"/>
      <c r="S285" s="1728"/>
      <c r="T285" s="1728"/>
    </row>
    <row r="286" spans="1:20" ht="12.95" customHeight="1">
      <c r="A286" s="1728"/>
      <c r="B286" s="1728" t="s">
        <v>5066</v>
      </c>
      <c r="C286" s="1728"/>
      <c r="D286" s="1728"/>
      <c r="E286" s="1728"/>
      <c r="F286" s="1728"/>
      <c r="G286" s="1728"/>
      <c r="H286" s="1728"/>
      <c r="I286" s="1728"/>
      <c r="J286" s="2534">
        <f>G256</f>
        <v>27055140</v>
      </c>
      <c r="K286" s="2534"/>
      <c r="L286" s="2534"/>
      <c r="M286" s="1728"/>
      <c r="N286" s="2610" t="s">
        <v>4611</v>
      </c>
      <c r="O286" s="2610"/>
      <c r="P286" s="2610"/>
      <c r="Q286" s="2610"/>
      <c r="R286" s="1728"/>
      <c r="S286" s="2505" t="s">
        <v>3103</v>
      </c>
      <c r="T286" s="2505"/>
    </row>
    <row r="287" spans="1:20">
      <c r="A287" s="1728"/>
      <c r="B287" s="1728" t="s">
        <v>252</v>
      </c>
      <c r="C287" s="1728"/>
      <c r="D287" s="1728"/>
      <c r="E287" s="1728"/>
      <c r="F287" s="1728"/>
      <c r="G287" s="1728"/>
      <c r="H287" s="1728"/>
      <c r="I287" s="1728"/>
      <c r="J287" s="2534">
        <f>'Part II-Sources of Funds'!$I$60-'Part II-Sources of Funds'!$I$44-'Part II-Sources of Funds'!$I$45-'Part II-Sources of Funds'!$I$51-'Part II-Sources of Funds'!$I$52</f>
        <v>6794810</v>
      </c>
      <c r="K287" s="2534"/>
      <c r="L287" s="2534"/>
      <c r="M287" s="2610"/>
      <c r="N287" s="2610"/>
      <c r="O287" s="2610"/>
      <c r="P287" s="2610"/>
      <c r="Q287" s="2610"/>
      <c r="R287" s="1728"/>
      <c r="S287" s="2505"/>
      <c r="T287" s="2505"/>
    </row>
    <row r="288" spans="1:20">
      <c r="A288" s="1728"/>
      <c r="B288" s="1728" t="s">
        <v>2059</v>
      </c>
      <c r="C288" s="1728"/>
      <c r="D288" s="1728"/>
      <c r="E288" s="1728"/>
      <c r="F288" s="1728"/>
      <c r="G288" s="1728"/>
      <c r="H288" s="1728"/>
      <c r="I288" s="1728"/>
      <c r="J288" s="2534">
        <f>+J286-J287</f>
        <v>20260330</v>
      </c>
      <c r="K288" s="2534"/>
      <c r="L288" s="2534"/>
      <c r="M288" s="2610"/>
      <c r="N288" s="2610"/>
      <c r="O288" s="2610"/>
      <c r="P288" s="2610"/>
      <c r="Q288" s="2610"/>
      <c r="R288" s="1728"/>
      <c r="S288" s="2505"/>
      <c r="T288" s="2505"/>
    </row>
    <row r="289" spans="1:20" ht="13.5">
      <c r="A289" s="1728"/>
      <c r="B289" s="1728" t="s">
        <v>1207</v>
      </c>
      <c r="C289" s="1728"/>
      <c r="D289" s="1728"/>
      <c r="E289" s="1728"/>
      <c r="F289" s="1728"/>
      <c r="G289" s="1728"/>
      <c r="H289" s="1728"/>
      <c r="I289" s="1728"/>
      <c r="J289" s="1728" t="str">
        <f>"/ 10"</f>
        <v>/ 10</v>
      </c>
      <c r="K289" s="1728"/>
      <c r="L289" s="1728"/>
      <c r="M289" s="2473"/>
      <c r="N289" s="2617">
        <f>'Part II-Sources of Funds'!$I$44</f>
        <v>0</v>
      </c>
      <c r="O289" s="2617"/>
      <c r="P289" s="2617"/>
      <c r="Q289" s="2617"/>
      <c r="R289" s="1728"/>
      <c r="S289" s="2526" t="s">
        <v>1546</v>
      </c>
      <c r="T289" s="2618" t="str">
        <f>'Part III-A-Uses of Funds'!T179</f>
        <v>No</v>
      </c>
    </row>
    <row r="290" spans="1:20" ht="13.5">
      <c r="A290" s="1728"/>
      <c r="B290" s="1728" t="s">
        <v>1208</v>
      </c>
      <c r="C290" s="1728"/>
      <c r="D290" s="1728"/>
      <c r="E290" s="1728"/>
      <c r="F290" s="1728"/>
      <c r="G290" s="1728"/>
      <c r="H290" s="1728"/>
      <c r="I290" s="1728"/>
      <c r="J290" s="2534">
        <f>J288/10</f>
        <v>2026033</v>
      </c>
      <c r="K290" s="2534"/>
      <c r="L290" s="2534"/>
      <c r="M290" s="1728"/>
      <c r="N290" s="2617"/>
      <c r="O290" s="2617"/>
      <c r="P290" s="2617"/>
      <c r="Q290" s="2617"/>
      <c r="R290" s="2617"/>
      <c r="S290" s="1728"/>
      <c r="T290" s="1728"/>
    </row>
    <row r="291" spans="1:20">
      <c r="A291" s="1728"/>
      <c r="B291" s="1728"/>
      <c r="C291" s="1728"/>
      <c r="D291" s="1728"/>
      <c r="E291" s="1728"/>
      <c r="F291" s="1728"/>
      <c r="G291" s="1728"/>
      <c r="H291" s="1728"/>
      <c r="I291" s="1728"/>
      <c r="J291" s="1728"/>
      <c r="K291" s="1728"/>
      <c r="L291" s="1728"/>
      <c r="M291" s="377"/>
      <c r="N291" s="1728" t="s">
        <v>1209</v>
      </c>
      <c r="O291" s="1728"/>
      <c r="P291" s="1728"/>
      <c r="Q291" s="1728" t="s">
        <v>1666</v>
      </c>
      <c r="R291" s="1728"/>
      <c r="S291" s="1728"/>
      <c r="T291" s="1728"/>
    </row>
    <row r="292" spans="1:20">
      <c r="A292" s="1728"/>
      <c r="B292" s="1728" t="s">
        <v>5067</v>
      </c>
      <c r="C292" s="1728"/>
      <c r="D292" s="1728"/>
      <c r="E292" s="1728"/>
      <c r="F292" s="1728"/>
      <c r="G292" s="1728"/>
      <c r="H292" s="1728"/>
      <c r="I292" s="1728"/>
      <c r="J292" s="2619">
        <f>N292+Q292</f>
        <v>1.48</v>
      </c>
      <c r="K292" s="2619"/>
      <c r="L292" s="2619"/>
      <c r="M292" s="1533" t="s">
        <v>1210</v>
      </c>
      <c r="N292" s="2620">
        <f>'Part III-A-Uses of Funds'!N182</f>
        <v>0.92</v>
      </c>
      <c r="O292" s="2620"/>
      <c r="P292" s="1533" t="s">
        <v>569</v>
      </c>
      <c r="Q292" s="2620">
        <f>'Part III-A-Uses of Funds'!Q182</f>
        <v>0.56000000000000005</v>
      </c>
      <c r="R292" s="2620"/>
      <c r="S292" s="1728"/>
      <c r="T292" s="1728"/>
    </row>
    <row r="293" spans="1:20">
      <c r="A293" s="1728"/>
      <c r="B293" s="2499" t="s">
        <v>1338</v>
      </c>
      <c r="C293" s="1728"/>
      <c r="D293" s="1728"/>
      <c r="E293" s="1728"/>
      <c r="F293" s="1728"/>
      <c r="G293" s="1728"/>
      <c r="H293" s="1728"/>
      <c r="I293" s="1728"/>
      <c r="J293" s="2533">
        <f>ROUNDDOWN(IF(J292=0,"",J290/J292),0)</f>
        <v>1368941</v>
      </c>
      <c r="K293" s="2533"/>
      <c r="L293" s="2533"/>
      <c r="M293" s="377"/>
      <c r="N293" s="1728"/>
      <c r="O293" s="1728"/>
      <c r="P293" s="1728"/>
      <c r="Q293" s="1728"/>
      <c r="R293" s="1728"/>
      <c r="S293" s="1728"/>
      <c r="T293" s="1728"/>
    </row>
    <row r="294" spans="1:20">
      <c r="A294" s="1728"/>
      <c r="B294" s="1728"/>
      <c r="C294" s="1728"/>
      <c r="D294" s="1728"/>
      <c r="E294" s="1728"/>
      <c r="F294" s="1728"/>
      <c r="G294" s="1728"/>
      <c r="H294" s="1728"/>
      <c r="I294" s="1728"/>
      <c r="J294" s="2621"/>
      <c r="K294" s="2621"/>
      <c r="L294" s="2621"/>
      <c r="M294" s="377"/>
      <c r="N294" s="1533"/>
      <c r="O294" s="1533"/>
      <c r="P294" s="1728"/>
      <c r="Q294" s="1728"/>
      <c r="R294" s="1728"/>
      <c r="S294" s="1728"/>
      <c r="T294" s="1728"/>
    </row>
    <row r="295" spans="1:20" ht="16.5">
      <c r="A295" s="2615" t="s">
        <v>1661</v>
      </c>
      <c r="B295" s="2615" t="s">
        <v>3810</v>
      </c>
      <c r="C295" s="1728"/>
      <c r="D295" s="1728"/>
      <c r="E295" s="1728"/>
      <c r="F295" s="1728"/>
      <c r="G295" s="1728"/>
      <c r="H295" s="2600"/>
      <c r="I295" s="2600"/>
      <c r="J295" s="1728"/>
      <c r="K295" s="1728"/>
      <c r="L295" s="1728"/>
      <c r="M295" s="1728"/>
      <c r="N295" s="1728"/>
      <c r="O295" s="1728"/>
      <c r="P295" s="1728"/>
      <c r="Q295" s="1728"/>
      <c r="R295" s="1728"/>
      <c r="S295" s="1728"/>
      <c r="T295" s="1728"/>
    </row>
    <row r="296" spans="1:20">
      <c r="A296" s="1728"/>
      <c r="B296" s="1728"/>
      <c r="C296" s="1728"/>
      <c r="D296" s="1728"/>
      <c r="E296" s="1728"/>
      <c r="F296" s="1728"/>
      <c r="G296" s="1728"/>
      <c r="H296" s="2600"/>
      <c r="I296" s="2600"/>
      <c r="J296" s="1728"/>
      <c r="K296" s="1728"/>
      <c r="L296" s="1728"/>
      <c r="M296" s="1728"/>
      <c r="N296" s="1728"/>
      <c r="O296" s="1728"/>
      <c r="P296" s="1728"/>
      <c r="Q296" s="2561"/>
      <c r="R296" s="2561"/>
      <c r="S296" s="2622"/>
      <c r="T296" s="2622"/>
    </row>
    <row r="297" spans="1:20">
      <c r="A297" s="1728"/>
      <c r="B297" s="2499" t="s">
        <v>5068</v>
      </c>
      <c r="C297" s="1728"/>
      <c r="D297" s="1728"/>
      <c r="E297" s="1728"/>
      <c r="F297" s="1728"/>
      <c r="G297" s="1728"/>
      <c r="H297" s="1728"/>
      <c r="I297" s="1728"/>
      <c r="J297" s="2533">
        <f>'Part III-A-Uses of Funds'!J187</f>
        <v>1350000</v>
      </c>
      <c r="K297" s="2533"/>
      <c r="L297" s="2533"/>
      <c r="M297" s="1728"/>
      <c r="N297" s="1728"/>
      <c r="O297" s="1728"/>
      <c r="P297" s="1728"/>
      <c r="Q297" s="2505" t="s">
        <v>4146</v>
      </c>
      <c r="R297" s="2505"/>
      <c r="S297" s="2505" t="str">
        <f>'Part VIII Scoring Criteria'!$J$12</f>
        <v>Atlanta Metro</v>
      </c>
      <c r="T297" s="2505"/>
    </row>
    <row r="298" spans="1:20">
      <c r="A298" s="1728"/>
      <c r="B298" s="1728"/>
      <c r="C298" s="1728"/>
      <c r="D298" s="1728"/>
      <c r="E298" s="1728"/>
      <c r="F298" s="1728"/>
      <c r="G298" s="1728"/>
      <c r="H298" s="1728"/>
      <c r="I298" s="1728"/>
      <c r="J298" s="2621"/>
      <c r="K298" s="2621"/>
      <c r="L298" s="2621"/>
      <c r="M298" s="377"/>
      <c r="N298" s="1533"/>
      <c r="O298" s="1533"/>
      <c r="P298" s="1728"/>
      <c r="Q298" s="2505"/>
      <c r="R298" s="2505"/>
      <c r="S298" s="2592"/>
      <c r="T298" s="2592"/>
    </row>
    <row r="299" spans="1:20">
      <c r="A299" s="1728"/>
      <c r="B299" s="2499" t="s">
        <v>5069</v>
      </c>
      <c r="C299" s="1728"/>
      <c r="D299" s="1728"/>
      <c r="E299" s="1728"/>
      <c r="F299" s="1728"/>
      <c r="G299" s="1728"/>
      <c r="H299" s="1728"/>
      <c r="I299" s="1728"/>
      <c r="J299" s="2533">
        <f>'Part III-A-Uses of Funds'!J189</f>
        <v>1350000</v>
      </c>
      <c r="K299" s="2533"/>
      <c r="L299" s="2533"/>
      <c r="M299" s="2623" t="str">
        <f>IF(J297=0,"",IF(J299&gt;J297,"Request can't exceed Maximum - REVISE (Try Round Down)!",""))</f>
        <v/>
      </c>
      <c r="N299" s="2623"/>
      <c r="O299" s="2623"/>
      <c r="P299" s="2623"/>
      <c r="Q299" s="2592" t="s">
        <v>4440</v>
      </c>
      <c r="R299" s="2505"/>
      <c r="S299" s="2505" t="str">
        <f>'Part VIII Scoring Criteria'!$F$12</f>
        <v>New Affordability</v>
      </c>
      <c r="T299" s="2505"/>
    </row>
    <row r="300" spans="1:20">
      <c r="A300" s="1728"/>
      <c r="B300" s="1728"/>
      <c r="C300" s="1728"/>
      <c r="D300" s="1728"/>
      <c r="E300" s="1728"/>
      <c r="F300" s="1728"/>
      <c r="G300" s="1728"/>
      <c r="H300" s="1728"/>
      <c r="I300" s="1728"/>
      <c r="J300" s="2621"/>
      <c r="K300" s="2621"/>
      <c r="L300" s="2621"/>
      <c r="M300" s="2623"/>
      <c r="N300" s="2623"/>
      <c r="O300" s="2623"/>
      <c r="P300" s="2623"/>
      <c r="Q300" s="2505"/>
      <c r="R300" s="2505"/>
      <c r="S300" s="2592"/>
      <c r="T300" s="2592"/>
    </row>
    <row r="301" spans="1:20" ht="16.5">
      <c r="A301" s="2615"/>
      <c r="B301" s="2615" t="s">
        <v>5070</v>
      </c>
      <c r="C301" s="1728"/>
      <c r="D301" s="377"/>
      <c r="E301" s="377"/>
      <c r="F301" s="2506"/>
      <c r="G301" s="1728"/>
      <c r="H301" s="1728"/>
      <c r="I301" s="1728"/>
      <c r="J301" s="2533">
        <f>IF(J299="",0,+MIN(J297,J299))</f>
        <v>1350000</v>
      </c>
      <c r="K301" s="2533"/>
      <c r="L301" s="2533"/>
      <c r="M301" s="2623"/>
      <c r="N301" s="2623"/>
      <c r="O301" s="2623"/>
      <c r="P301" s="2623"/>
      <c r="Q301" s="402" t="s">
        <v>3802</v>
      </c>
      <c r="R301" s="402"/>
      <c r="S301" s="250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5"/>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499" t="s">
        <v>1663</v>
      </c>
      <c r="B304" s="376" t="s">
        <v>529</v>
      </c>
      <c r="C304" s="377"/>
      <c r="D304" s="377"/>
      <c r="E304" s="377"/>
      <c r="F304" s="377"/>
      <c r="G304" s="377"/>
      <c r="H304" s="377"/>
      <c r="I304" s="377"/>
      <c r="J304" s="377"/>
      <c r="K304" s="377"/>
      <c r="L304" s="377"/>
      <c r="M304" s="377"/>
      <c r="N304" s="2499" t="s">
        <v>495</v>
      </c>
      <c r="O304" s="2499" t="s">
        <v>74</v>
      </c>
      <c r="P304" s="377"/>
      <c r="Q304" s="377"/>
      <c r="R304" s="377"/>
      <c r="S304" s="377"/>
      <c r="T304" s="377"/>
    </row>
    <row r="305" spans="1:20" ht="12.6" customHeight="1">
      <c r="A305" s="2526" t="str">
        <f>'Part III-A-Uses of Funds'!A195</f>
        <v>* To all applicants: in addition to your other comments, please provide methodology for determining applicable construction hard costs.</v>
      </c>
      <c r="B305" s="2526"/>
      <c r="C305" s="2526"/>
      <c r="D305" s="2526"/>
      <c r="E305" s="2526"/>
      <c r="F305" s="2526"/>
      <c r="G305" s="2526"/>
      <c r="H305" s="2526"/>
      <c r="I305" s="2526"/>
      <c r="J305" s="2526"/>
      <c r="K305" s="2526"/>
      <c r="L305" s="2526"/>
      <c r="M305" s="2526"/>
      <c r="N305" s="2526"/>
      <c r="O305" s="2526"/>
      <c r="P305" s="2526"/>
      <c r="Q305" s="2526"/>
      <c r="R305" s="2526"/>
      <c r="S305" s="2526"/>
      <c r="T305" s="2526"/>
    </row>
    <row r="307" spans="1:20" s="2626" customFormat="1" ht="15.75">
      <c r="A307" s="2624" t="str">
        <f>CONCATENATE("PART THREE (B) -  OTHER COSTS","  -  ",'Part I-Project Identification'!$O$7," - ",'Part I-Project Identification'!$F$26,"  -  ",'Part I-Project Identification'!$F$27,"  -  ",'Part I-Project Identification'!$J$27,",  ","County")</f>
        <v>PART THREE (B) -  OTHER COSTS  -  2024-0 - Redland Trace  -  Lawrenceville  -  Gwinnett,  County</v>
      </c>
      <c r="B307" s="2624"/>
      <c r="C307" s="2624"/>
      <c r="D307" s="2624"/>
      <c r="E307" s="2624"/>
      <c r="F307" s="2624"/>
      <c r="G307" s="2624"/>
      <c r="H307" s="2624"/>
      <c r="I307" s="2625"/>
      <c r="J307" s="2625"/>
      <c r="K307" s="2625"/>
      <c r="L307" s="2625"/>
      <c r="M307" s="2625"/>
      <c r="N307" s="2625"/>
    </row>
    <row r="308" spans="1:20" s="2626" customFormat="1" ht="9" customHeight="1"/>
    <row r="309" spans="1:20" s="2626" customFormat="1" ht="57" customHeight="1">
      <c r="A309" s="2627" t="s">
        <v>3130</v>
      </c>
      <c r="B309" s="2627"/>
      <c r="C309" s="2627"/>
      <c r="D309" s="2627"/>
      <c r="E309" s="2627"/>
      <c r="F309" s="2627"/>
      <c r="G309" s="2627"/>
      <c r="H309" s="2627"/>
    </row>
    <row r="310" spans="1:20" s="2626" customFormat="1" ht="6" customHeight="1"/>
    <row r="311" spans="1:20" s="2626" customFormat="1" ht="38.25" customHeight="1">
      <c r="A311" s="2628" t="s">
        <v>5071</v>
      </c>
      <c r="B311" s="2628"/>
      <c r="C311" s="2628"/>
      <c r="D311" s="2628"/>
      <c r="F311" s="2629" t="s">
        <v>3122</v>
      </c>
      <c r="G311" s="2630"/>
      <c r="H311" s="2629" t="s">
        <v>3123</v>
      </c>
    </row>
    <row r="312" spans="1:20" s="2626" customFormat="1" ht="6.75" customHeight="1">
      <c r="A312" s="2630"/>
      <c r="B312" s="2630"/>
      <c r="C312" s="2630"/>
      <c r="D312" s="2630"/>
    </row>
    <row r="313" spans="1:20" s="2632" customFormat="1" ht="4.5" customHeight="1">
      <c r="A313" s="2631"/>
      <c r="B313" s="2631"/>
      <c r="C313" s="2631"/>
      <c r="D313" s="2631"/>
      <c r="E313" s="2631"/>
      <c r="F313" s="2631"/>
      <c r="G313" s="2631"/>
    </row>
    <row r="314" spans="1:20" s="2632" customFormat="1">
      <c r="A314" s="2625" t="s">
        <v>96</v>
      </c>
      <c r="B314" s="2633"/>
      <c r="C314" s="2633"/>
      <c r="D314" s="2633"/>
      <c r="E314" s="2633"/>
      <c r="F314" s="2633"/>
      <c r="G314" s="2633"/>
      <c r="H314" s="2633"/>
    </row>
    <row r="315" spans="1:20" s="2632" customFormat="1" ht="41.25" customHeight="1">
      <c r="A315" s="2634">
        <f>'Part III-A-Uses of Funds'!$C$15</f>
        <v>0</v>
      </c>
      <c r="B315" s="2634"/>
      <c r="C315" s="2634"/>
      <c r="D315" s="2634"/>
      <c r="F315" s="2635">
        <f>'Part III-B-Other Items'!F9</f>
        <v>0</v>
      </c>
      <c r="G315" s="2633"/>
      <c r="H315" s="2635">
        <f>'Part III-B-Other Items'!H9</f>
        <v>0</v>
      </c>
    </row>
    <row r="316" spans="1:20" s="2632" customFormat="1" ht="41.25" customHeight="1">
      <c r="A316" s="2634"/>
      <c r="B316" s="2634"/>
      <c r="C316" s="2634"/>
      <c r="D316" s="2634"/>
      <c r="F316" s="2635"/>
      <c r="G316" s="2633"/>
      <c r="H316" s="2635"/>
    </row>
    <row r="317" spans="1:20" s="2632" customFormat="1" ht="4.5" customHeight="1">
      <c r="F317" s="2635"/>
      <c r="G317" s="2633"/>
      <c r="H317" s="2635"/>
    </row>
    <row r="318" spans="1:20" s="2632" customFormat="1" ht="15" customHeight="1">
      <c r="A318" s="2636" t="s">
        <v>3125</v>
      </c>
      <c r="B318" s="2637">
        <f>'Part III-A-Uses of Funds'!$G$15</f>
        <v>0</v>
      </c>
      <c r="C318" s="2636" t="s">
        <v>1660</v>
      </c>
      <c r="D318" s="2637">
        <f>'Part III-A-Uses of Funds'!$J$15+'Part III-A-Uses of Funds'!$M$15+'Part III-A-Uses of Funds'!$P$15</f>
        <v>0</v>
      </c>
      <c r="F318" s="2635"/>
      <c r="G318" s="2633"/>
      <c r="H318" s="2635"/>
    </row>
    <row r="319" spans="1:20" s="2632" customFormat="1" ht="6" customHeight="1">
      <c r="A319" s="2633"/>
      <c r="B319" s="2638"/>
      <c r="C319" s="2633"/>
      <c r="D319" s="2633"/>
      <c r="F319" s="2635"/>
      <c r="G319" s="2639"/>
      <c r="H319" s="2635"/>
    </row>
    <row r="320" spans="1:20" s="2632" customFormat="1" ht="41.25" customHeight="1">
      <c r="A320" s="2634" t="str">
        <f>'Part III-A-Uses of Funds'!$C$16</f>
        <v>&lt;&lt; Enter description here; provide detail &amp; justification in tab Part III-b &gt;&gt;</v>
      </c>
      <c r="B320" s="2634"/>
      <c r="C320" s="2634"/>
      <c r="D320" s="2634"/>
      <c r="F320" s="2635">
        <f>'Part III-B-Other Items'!F14</f>
        <v>0</v>
      </c>
      <c r="G320" s="2633"/>
      <c r="H320" s="2635">
        <f>'Part III-B-Other Items'!H14</f>
        <v>0</v>
      </c>
    </row>
    <row r="321" spans="1:8" s="2632" customFormat="1" ht="41.25" customHeight="1">
      <c r="A321" s="2634"/>
      <c r="B321" s="2634"/>
      <c r="C321" s="2634"/>
      <c r="D321" s="2634"/>
      <c r="F321" s="2635"/>
      <c r="G321" s="2633"/>
      <c r="H321" s="2635"/>
    </row>
    <row r="322" spans="1:8" s="2632" customFormat="1" ht="4.5" customHeight="1">
      <c r="F322" s="2635"/>
      <c r="G322" s="2633"/>
      <c r="H322" s="2635"/>
    </row>
    <row r="323" spans="1:8" s="2632" customFormat="1" ht="15" customHeight="1">
      <c r="A323" s="2636" t="s">
        <v>3125</v>
      </c>
      <c r="B323" s="2637">
        <f>'Part III-A-Uses of Funds'!$G$16</f>
        <v>0</v>
      </c>
      <c r="C323" s="2636" t="s">
        <v>1660</v>
      </c>
      <c r="D323" s="2637">
        <f>'Part III-A-Uses of Funds'!$J$16+'Part III-A-Uses of Funds'!$M$16+'Part III-A-Uses of Funds'!$P$16</f>
        <v>0</v>
      </c>
      <c r="F323" s="2635"/>
      <c r="G323" s="2633"/>
      <c r="H323" s="2635"/>
    </row>
    <row r="324" spans="1:8" s="2632" customFormat="1" ht="6" customHeight="1">
      <c r="A324" s="2633"/>
      <c r="B324" s="2638"/>
      <c r="C324" s="2633"/>
      <c r="D324" s="2633"/>
      <c r="F324" s="2635"/>
      <c r="G324" s="2639"/>
      <c r="H324" s="2635"/>
    </row>
    <row r="325" spans="1:8" s="2632" customFormat="1" ht="41.25" customHeight="1">
      <c r="A325" s="2634" t="str">
        <f>'Part III-A-Uses of Funds'!$C$17</f>
        <v>&lt;&lt; Enter description here; provide detail &amp; justification in tab Part III-b &gt;&gt;</v>
      </c>
      <c r="B325" s="2634"/>
      <c r="C325" s="2634"/>
      <c r="D325" s="2634"/>
      <c r="F325" s="2635">
        <f>'Part III-B-Other Items'!F19</f>
        <v>0</v>
      </c>
      <c r="G325" s="2633"/>
      <c r="H325" s="2635">
        <f>'Part III-B-Other Items'!H19</f>
        <v>0</v>
      </c>
    </row>
    <row r="326" spans="1:8" s="2632" customFormat="1" ht="41.25" customHeight="1">
      <c r="A326" s="2634"/>
      <c r="B326" s="2634"/>
      <c r="C326" s="2634"/>
      <c r="D326" s="2634"/>
      <c r="F326" s="2635"/>
      <c r="G326" s="2633"/>
      <c r="H326" s="2635"/>
    </row>
    <row r="327" spans="1:8" s="2632" customFormat="1" ht="4.5" customHeight="1">
      <c r="F327" s="2635"/>
      <c r="G327" s="2633"/>
      <c r="H327" s="2635"/>
    </row>
    <row r="328" spans="1:8" s="2632" customFormat="1" ht="15" customHeight="1">
      <c r="A328" s="2636" t="s">
        <v>3125</v>
      </c>
      <c r="B328" s="2637">
        <f>'Part III-A-Uses of Funds'!$G$17</f>
        <v>0</v>
      </c>
      <c r="C328" s="2636" t="s">
        <v>1660</v>
      </c>
      <c r="D328" s="2637">
        <f>'Part III-A-Uses of Funds'!$J$17+'Part III-A-Uses of Funds'!$M$17+'Part III-A-Uses of Funds'!$P$17</f>
        <v>0</v>
      </c>
      <c r="F328" s="2635"/>
      <c r="G328" s="2633"/>
      <c r="H328" s="2635"/>
    </row>
    <row r="329" spans="1:8" s="2632" customFormat="1" ht="6" customHeight="1">
      <c r="A329" s="2633"/>
      <c r="B329" s="2638"/>
      <c r="C329" s="2633"/>
      <c r="D329" s="2633"/>
      <c r="F329" s="2635"/>
      <c r="G329" s="2639"/>
      <c r="H329" s="2635"/>
    </row>
    <row r="330" spans="1:8" s="2632" customFormat="1">
      <c r="A330" s="2625" t="s">
        <v>3124</v>
      </c>
      <c r="B330" s="2633"/>
      <c r="C330" s="2633"/>
      <c r="D330" s="2633"/>
      <c r="E330" s="2633"/>
      <c r="F330" s="2633"/>
      <c r="G330" s="2633"/>
    </row>
    <row r="331" spans="1:8" s="2632" customFormat="1" ht="41.25" customHeight="1">
      <c r="A331" s="2634" t="str">
        <f>'Part III-A-Uses of Funds'!$C$46</f>
        <v>&lt;&lt; Enter description here; provide detail &amp; justification in tab Part III-b &gt;&gt;</v>
      </c>
      <c r="B331" s="2634"/>
      <c r="C331" s="2634"/>
      <c r="D331" s="2634"/>
      <c r="E331" s="2633"/>
      <c r="F331" s="2635">
        <f>'Part III-B-Other Items'!F25</f>
        <v>0</v>
      </c>
      <c r="G331" s="2633"/>
      <c r="H331" s="2635">
        <f>'Part III-B-Other Items'!H25</f>
        <v>0</v>
      </c>
    </row>
    <row r="332" spans="1:8" s="2632" customFormat="1" ht="41.25" customHeight="1">
      <c r="A332" s="2634"/>
      <c r="B332" s="2634"/>
      <c r="C332" s="2634"/>
      <c r="D332" s="2634"/>
      <c r="E332" s="2633"/>
      <c r="F332" s="2635"/>
      <c r="G332" s="2633"/>
      <c r="H332" s="2635"/>
    </row>
    <row r="333" spans="1:8" s="2632" customFormat="1" ht="4.5" customHeight="1">
      <c r="A333" s="2633"/>
      <c r="B333" s="2633"/>
      <c r="C333" s="2633"/>
      <c r="D333" s="2633"/>
      <c r="E333" s="2633"/>
      <c r="F333" s="2635"/>
      <c r="G333" s="2633"/>
      <c r="H333" s="2635"/>
    </row>
    <row r="334" spans="1:8" s="2632" customFormat="1">
      <c r="A334" s="2636" t="s">
        <v>3125</v>
      </c>
      <c r="B334" s="2637">
        <f>'Part III-A-Uses of Funds'!$G$46</f>
        <v>0</v>
      </c>
      <c r="C334" s="2636" t="s">
        <v>1660</v>
      </c>
      <c r="D334" s="2637">
        <f>'Part III-A-Uses of Funds'!$J$46+'Part III-A-Uses of Funds'!$M$46+'Part III-A-Uses of Funds'!$P$46</f>
        <v>0</v>
      </c>
      <c r="E334" s="2633"/>
      <c r="F334" s="2635"/>
      <c r="G334" s="2633"/>
      <c r="H334" s="2635"/>
    </row>
    <row r="335" spans="1:8" s="2632" customFormat="1" ht="6" customHeight="1">
      <c r="A335" s="2633"/>
      <c r="B335" s="2638"/>
      <c r="C335" s="2633"/>
      <c r="D335" s="2633"/>
      <c r="E335" s="2633"/>
      <c r="F335" s="2635"/>
      <c r="G335" s="2639"/>
      <c r="H335" s="2635"/>
    </row>
    <row r="336" spans="1:8" s="2632" customFormat="1">
      <c r="A336" s="2625" t="s">
        <v>674</v>
      </c>
      <c r="B336" s="2633"/>
      <c r="C336" s="2633"/>
      <c r="D336" s="2633"/>
      <c r="E336" s="2633"/>
      <c r="F336" s="2633"/>
      <c r="G336" s="2633"/>
    </row>
    <row r="337" spans="1:8" s="2632" customFormat="1" ht="41.25" customHeight="1">
      <c r="A337" s="2634" t="str">
        <f>'Part III-A-Uses of Funds'!$C$71</f>
        <v>Market Study, Appraisal, Plan &amp; Cost Review</v>
      </c>
      <c r="B337" s="2634"/>
      <c r="C337" s="2634"/>
      <c r="D337" s="2634"/>
      <c r="E337" s="2633"/>
      <c r="F337" s="2635" t="str">
        <f>'Part III-B-Other Items'!F31</f>
        <v>Thrid party cost incurred by the lender, but required to be paid by the development.  These are separate and distinct from other thrid party reports paid be owner.</v>
      </c>
      <c r="G337" s="2633"/>
      <c r="H337" s="2635" t="str">
        <f>'Part III-B-Other Items'!H31</f>
        <v xml:space="preserve">All cost are incurred with as part of the construction of the building. </v>
      </c>
    </row>
    <row r="338" spans="1:8" s="2632" customFormat="1" ht="41.25" customHeight="1">
      <c r="A338" s="2634"/>
      <c r="B338" s="2634"/>
      <c r="C338" s="2634"/>
      <c r="D338" s="2634"/>
      <c r="E338" s="2633"/>
      <c r="F338" s="2635"/>
      <c r="G338" s="2633"/>
      <c r="H338" s="2635"/>
    </row>
    <row r="339" spans="1:8" s="2632" customFormat="1" ht="4.5" customHeight="1">
      <c r="A339" s="2633"/>
      <c r="B339" s="2633"/>
      <c r="C339" s="2633"/>
      <c r="D339" s="2633"/>
      <c r="E339" s="2633"/>
      <c r="F339" s="2635"/>
      <c r="G339" s="2633"/>
      <c r="H339" s="2635"/>
    </row>
    <row r="340" spans="1:8" s="2632" customFormat="1" ht="14.25" customHeight="1">
      <c r="A340" s="2636" t="s">
        <v>3125</v>
      </c>
      <c r="B340" s="2637">
        <f>'Part III-A-Uses of Funds'!$G$71</f>
        <v>9500</v>
      </c>
      <c r="C340" s="2636" t="s">
        <v>1660</v>
      </c>
      <c r="D340" s="2637">
        <f>'Part III-A-Uses of Funds'!$J$71+'Part III-A-Uses of Funds'!$M$71+'Part III-A-Uses of Funds'!$P$71</f>
        <v>9500</v>
      </c>
      <c r="E340" s="2633"/>
      <c r="F340" s="2635"/>
      <c r="G340" s="2633"/>
      <c r="H340" s="2635"/>
    </row>
    <row r="341" spans="1:8" s="2632" customFormat="1" ht="6" customHeight="1">
      <c r="D341" s="2633"/>
      <c r="E341" s="2633"/>
      <c r="F341" s="2635"/>
      <c r="G341" s="2639"/>
      <c r="H341" s="2635"/>
    </row>
    <row r="342" spans="1:8" s="2632" customFormat="1" ht="41.25" customHeight="1">
      <c r="A342" s="2634" t="str">
        <f>'Part III-A-Uses of Funds'!$C$72</f>
        <v>&lt;&lt; Enter description here; provide detail &amp; justification in tab Part III-b &gt;&gt;</v>
      </c>
      <c r="B342" s="2634"/>
      <c r="C342" s="2634"/>
      <c r="D342" s="2634"/>
      <c r="E342" s="2633"/>
      <c r="F342" s="2635">
        <f>'Part III-B-Other Items'!F36</f>
        <v>0</v>
      </c>
      <c r="G342" s="2633"/>
      <c r="H342" s="2635">
        <f>'Part III-B-Other Items'!H36</f>
        <v>0</v>
      </c>
    </row>
    <row r="343" spans="1:8" s="2632" customFormat="1" ht="41.25" customHeight="1">
      <c r="A343" s="2634"/>
      <c r="B343" s="2634"/>
      <c r="C343" s="2634"/>
      <c r="D343" s="2634"/>
      <c r="E343" s="2633"/>
      <c r="F343" s="2635"/>
      <c r="G343" s="2633"/>
      <c r="H343" s="2635"/>
    </row>
    <row r="344" spans="1:8" s="2632" customFormat="1" ht="4.5" customHeight="1">
      <c r="A344" s="2633"/>
      <c r="B344" s="2633"/>
      <c r="C344" s="2633"/>
      <c r="D344" s="2633"/>
      <c r="E344" s="2633"/>
      <c r="F344" s="2635"/>
      <c r="G344" s="2633"/>
      <c r="H344" s="2635"/>
    </row>
    <row r="345" spans="1:8" s="2632" customFormat="1" ht="14.25" customHeight="1">
      <c r="A345" s="2636" t="s">
        <v>3125</v>
      </c>
      <c r="B345" s="2637">
        <f>'Part III-A-Uses of Funds'!$G$72</f>
        <v>0</v>
      </c>
      <c r="C345" s="2636" t="s">
        <v>1660</v>
      </c>
      <c r="D345" s="2637">
        <f>'Part III-A-Uses of Funds'!$J$72+'Part III-A-Uses of Funds'!$M$72+'Part III-A-Uses of Funds'!$P$72</f>
        <v>0</v>
      </c>
      <c r="E345" s="2633"/>
      <c r="F345" s="2635"/>
      <c r="G345" s="2633"/>
      <c r="H345" s="2635"/>
    </row>
    <row r="346" spans="1:8" s="2632" customFormat="1" ht="6" customHeight="1">
      <c r="D346" s="2633"/>
      <c r="E346" s="2633"/>
      <c r="F346" s="2635"/>
      <c r="G346" s="2639"/>
      <c r="H346" s="2635"/>
    </row>
    <row r="347" spans="1:8" s="2632" customFormat="1">
      <c r="A347" s="2625" t="s">
        <v>448</v>
      </c>
      <c r="B347" s="2633"/>
      <c r="C347" s="2633"/>
      <c r="D347" s="2633"/>
      <c r="E347" s="2640"/>
      <c r="F347" s="2640"/>
      <c r="G347" s="2633"/>
    </row>
    <row r="348" spans="1:8" s="2632" customFormat="1" ht="41.25" customHeight="1">
      <c r="A348" s="2634" t="str">
        <f>'Part III-A-Uses of Funds'!$C$85</f>
        <v>&lt;&lt; Enter description here; provide detail &amp; justification in tab Part III-b &gt;&gt;</v>
      </c>
      <c r="B348" s="2634"/>
      <c r="C348" s="2634"/>
      <c r="D348" s="2634"/>
      <c r="F348" s="2635">
        <f>'Part III-B-Other Items'!F42</f>
        <v>0</v>
      </c>
      <c r="G348" s="2633"/>
      <c r="H348" s="2635">
        <f>'Part III-B-Other Items'!H42</f>
        <v>0</v>
      </c>
    </row>
    <row r="349" spans="1:8" s="2632" customFormat="1" ht="41.25" customHeight="1">
      <c r="A349" s="2634"/>
      <c r="B349" s="2634"/>
      <c r="C349" s="2634"/>
      <c r="D349" s="2634"/>
      <c r="E349" s="2633"/>
      <c r="F349" s="2635"/>
      <c r="G349" s="2633"/>
      <c r="H349" s="2635"/>
    </row>
    <row r="350" spans="1:8" s="2632" customFormat="1" ht="4.5" customHeight="1">
      <c r="A350" s="2633"/>
      <c r="B350" s="2633"/>
      <c r="C350" s="2633"/>
      <c r="D350" s="2633"/>
      <c r="E350" s="2633"/>
      <c r="F350" s="2635"/>
      <c r="G350" s="2633"/>
      <c r="H350" s="2635"/>
    </row>
    <row r="351" spans="1:8" s="2632" customFormat="1" ht="13.5" customHeight="1">
      <c r="A351" s="2636" t="s">
        <v>3125</v>
      </c>
      <c r="B351" s="2637">
        <f>'Part III-A-Uses of Funds'!$G$85</f>
        <v>0</v>
      </c>
      <c r="C351" s="2636" t="s">
        <v>1660</v>
      </c>
      <c r="D351" s="2637">
        <f>'Part III-A-Uses of Funds'!$J$85+'Part III-A-Uses of Funds'!$M$85+'Part III-A-Uses of Funds'!$P$85</f>
        <v>0</v>
      </c>
      <c r="E351" s="2633"/>
      <c r="F351" s="2635"/>
      <c r="G351" s="2633"/>
      <c r="H351" s="2635"/>
    </row>
    <row r="352" spans="1:8" s="2632" customFormat="1" ht="6" customHeight="1">
      <c r="A352" s="2633"/>
      <c r="B352" s="2638"/>
      <c r="C352" s="2633"/>
      <c r="D352" s="2633"/>
      <c r="E352" s="2633"/>
      <c r="F352" s="2635"/>
      <c r="G352" s="2639"/>
      <c r="H352" s="2635"/>
    </row>
    <row r="353" spans="1:7" s="2632" customFormat="1">
      <c r="A353" s="2625" t="s">
        <v>676</v>
      </c>
      <c r="B353" s="2633"/>
      <c r="C353" s="2633"/>
      <c r="D353" s="2633"/>
      <c r="E353" s="2633"/>
      <c r="F353" s="2633"/>
      <c r="G353" s="2633"/>
    </row>
    <row r="354" spans="1:7" s="2632" customFormat="1" ht="41.25" customHeight="1">
      <c r="A354" s="2634" t="str">
        <f>'Part III-A-Uses of Funds'!$C$102</f>
        <v>&lt;&lt; Enter description here; provide detail &amp; justification in tab Part III-b &gt;&gt;</v>
      </c>
      <c r="B354" s="2634"/>
      <c r="C354" s="2634"/>
      <c r="D354" s="2634"/>
      <c r="F354" s="2635">
        <f>'Part III-B-Other Items'!F48</f>
        <v>0</v>
      </c>
      <c r="G354" s="2633"/>
    </row>
    <row r="355" spans="1:7" s="2632" customFormat="1" ht="41.25" customHeight="1">
      <c r="A355" s="2634"/>
      <c r="B355" s="2634"/>
      <c r="C355" s="2634"/>
      <c r="D355" s="2634"/>
      <c r="E355" s="2633"/>
      <c r="F355" s="2635"/>
      <c r="G355" s="2633"/>
    </row>
    <row r="356" spans="1:7" s="2632" customFormat="1" ht="3" customHeight="1">
      <c r="A356" s="2633"/>
      <c r="B356" s="2633"/>
      <c r="C356" s="2633"/>
      <c r="D356" s="2633"/>
      <c r="E356" s="2633"/>
      <c r="F356" s="2635"/>
      <c r="G356" s="2633"/>
    </row>
    <row r="357" spans="1:7" s="2632" customFormat="1" ht="13.5" customHeight="1">
      <c r="A357" s="2636" t="s">
        <v>3125</v>
      </c>
      <c r="B357" s="2637">
        <f>'Part III-A-Uses of Funds'!$G$102</f>
        <v>0</v>
      </c>
      <c r="C357" s="2641"/>
      <c r="D357" s="2641"/>
      <c r="E357" s="2633"/>
      <c r="F357" s="2635"/>
      <c r="G357" s="2633"/>
    </row>
    <row r="358" spans="1:7" s="2632" customFormat="1" ht="3.75" customHeight="1">
      <c r="A358" s="2633"/>
      <c r="B358" s="2633"/>
      <c r="C358" s="2633"/>
      <c r="D358" s="2633"/>
      <c r="E358" s="2633"/>
      <c r="F358" s="2635"/>
      <c r="G358" s="2639"/>
    </row>
    <row r="359" spans="1:7" s="2632" customFormat="1">
      <c r="A359" s="2625" t="s">
        <v>5072</v>
      </c>
      <c r="B359" s="2633"/>
      <c r="C359" s="2633"/>
      <c r="D359" s="2633"/>
      <c r="E359" s="2633"/>
      <c r="F359" s="2633"/>
      <c r="G359" s="2633"/>
    </row>
    <row r="360" spans="1:7" s="2632" customFormat="1" ht="41.25" customHeight="1">
      <c r="A360" s="2634" t="str">
        <f>'Part III-A-Uses of Funds'!$C$112</f>
        <v>&lt;&lt; Enter description here; provide detail &amp; justification in tab Part III-b &gt;&gt;</v>
      </c>
      <c r="B360" s="2634"/>
      <c r="C360" s="2634"/>
      <c r="D360" s="2634"/>
      <c r="F360" s="2635">
        <f>'Part III-B-Other Items'!F54</f>
        <v>0</v>
      </c>
      <c r="G360" s="2633"/>
    </row>
    <row r="361" spans="1:7" s="2632" customFormat="1" ht="41.25" customHeight="1">
      <c r="A361" s="2634"/>
      <c r="B361" s="2634"/>
      <c r="C361" s="2634"/>
      <c r="D361" s="2634"/>
      <c r="E361" s="2633"/>
      <c r="F361" s="2635"/>
      <c r="G361" s="2633"/>
    </row>
    <row r="362" spans="1:7" s="2632" customFormat="1" ht="3" customHeight="1">
      <c r="A362" s="2633"/>
      <c r="B362" s="2633"/>
      <c r="C362" s="2633"/>
      <c r="D362" s="2633"/>
      <c r="E362" s="2633"/>
      <c r="F362" s="2635"/>
      <c r="G362" s="2633"/>
    </row>
    <row r="363" spans="1:7" s="2632" customFormat="1">
      <c r="A363" s="2636" t="s">
        <v>3125</v>
      </c>
      <c r="B363" s="2637">
        <f>'Part III-A-Uses of Funds'!$G$112</f>
        <v>0</v>
      </c>
      <c r="C363" s="2641"/>
      <c r="D363" s="2641"/>
      <c r="E363" s="2633"/>
      <c r="F363" s="2635"/>
      <c r="G363" s="2633"/>
    </row>
    <row r="364" spans="1:7" s="2632" customFormat="1" ht="3.75" customHeight="1">
      <c r="A364" s="2631"/>
      <c r="B364" s="2631"/>
      <c r="C364" s="2631"/>
      <c r="D364" s="2631"/>
      <c r="E364" s="2631"/>
      <c r="F364" s="2635"/>
      <c r="G364" s="2639"/>
    </row>
    <row r="365" spans="1:7" s="2632" customFormat="1" ht="41.25" customHeight="1">
      <c r="A365" s="2634" t="str">
        <f>'Part III-A-Uses of Funds'!$C$113</f>
        <v>&lt;&lt; Enter description here; provide detail &amp; justification in tab Part III-b &gt;&gt;</v>
      </c>
      <c r="B365" s="2634"/>
      <c r="C365" s="2634"/>
      <c r="D365" s="2634"/>
      <c r="F365" s="2635">
        <f>'Part III-B-Other Items'!F59</f>
        <v>0</v>
      </c>
      <c r="G365" s="2633"/>
    </row>
    <row r="366" spans="1:7" s="2632" customFormat="1" ht="41.25" customHeight="1">
      <c r="A366" s="2634"/>
      <c r="B366" s="2634"/>
      <c r="C366" s="2634"/>
      <c r="D366" s="2634"/>
      <c r="E366" s="2633"/>
      <c r="F366" s="2635"/>
      <c r="G366" s="2633"/>
    </row>
    <row r="367" spans="1:7" s="2632" customFormat="1" ht="3" customHeight="1">
      <c r="A367" s="2633"/>
      <c r="B367" s="2633"/>
      <c r="C367" s="2633"/>
      <c r="D367" s="2633"/>
      <c r="E367" s="2633"/>
      <c r="F367" s="2635"/>
      <c r="G367" s="2633"/>
    </row>
    <row r="368" spans="1:7" s="2632" customFormat="1">
      <c r="A368" s="2636" t="s">
        <v>3125</v>
      </c>
      <c r="B368" s="2637">
        <f>'Part III-A-Uses of Funds'!$G$113</f>
        <v>0</v>
      </c>
      <c r="C368" s="2641"/>
      <c r="D368" s="2641"/>
      <c r="E368" s="2633"/>
      <c r="F368" s="2635"/>
      <c r="G368" s="2633"/>
    </row>
    <row r="369" spans="1:8" s="2632" customFormat="1" ht="3.75" customHeight="1">
      <c r="A369" s="2631"/>
      <c r="B369" s="2631"/>
      <c r="C369" s="2631"/>
      <c r="D369" s="2631"/>
      <c r="E369" s="2631"/>
      <c r="F369" s="2635"/>
      <c r="G369" s="2639"/>
    </row>
    <row r="370" spans="1:8" s="2632" customFormat="1">
      <c r="A370" s="2625" t="s">
        <v>5073</v>
      </c>
      <c r="B370" s="2633"/>
      <c r="C370" s="2633"/>
      <c r="D370" s="2633"/>
      <c r="E370" s="2633"/>
      <c r="F370" s="2633"/>
      <c r="G370" s="2633"/>
    </row>
    <row r="371" spans="1:8" s="2632" customFormat="1" ht="41.25" customHeight="1">
      <c r="A371" s="2634" t="str">
        <f>'Part III-A-Uses of Funds'!$C$119</f>
        <v>&lt;&lt; Enter description here; provide detail &amp; justification in tab Part III-b &gt;&gt;</v>
      </c>
      <c r="B371" s="2634"/>
      <c r="C371" s="2634"/>
      <c r="D371" s="2634"/>
      <c r="F371" s="2635">
        <f>'Part III-B-Other Items'!F65</f>
        <v>0</v>
      </c>
      <c r="G371" s="2633"/>
    </row>
    <row r="372" spans="1:8" s="2632" customFormat="1" ht="41.25" customHeight="1">
      <c r="A372" s="2634"/>
      <c r="B372" s="2634"/>
      <c r="C372" s="2634"/>
      <c r="D372" s="2634"/>
      <c r="E372" s="2633"/>
      <c r="F372" s="2635"/>
      <c r="G372" s="2633"/>
    </row>
    <row r="373" spans="1:8" s="2632" customFormat="1" ht="3" customHeight="1">
      <c r="A373" s="2633"/>
      <c r="B373" s="2633"/>
      <c r="C373" s="2633"/>
      <c r="D373" s="2633"/>
      <c r="E373" s="2633"/>
      <c r="F373" s="2635"/>
      <c r="G373" s="2633"/>
    </row>
    <row r="374" spans="1:8" s="2632" customFormat="1">
      <c r="A374" s="2636" t="s">
        <v>3125</v>
      </c>
      <c r="B374" s="2637">
        <f>'Part III-A-Uses of Funds'!$G$119</f>
        <v>0</v>
      </c>
      <c r="C374" s="2641"/>
      <c r="D374" s="2641"/>
      <c r="E374" s="2633"/>
      <c r="F374" s="2635"/>
      <c r="G374" s="2633"/>
    </row>
    <row r="375" spans="1:8" s="2632" customFormat="1" ht="3.75" customHeight="1">
      <c r="A375" s="2633"/>
      <c r="B375" s="2638"/>
      <c r="C375" s="2633"/>
      <c r="D375" s="2633"/>
      <c r="E375" s="2633"/>
      <c r="F375" s="2635"/>
      <c r="G375" s="2639"/>
    </row>
    <row r="376" spans="1:8" s="2632" customFormat="1">
      <c r="A376" s="2625" t="s">
        <v>1229</v>
      </c>
      <c r="B376" s="2633"/>
      <c r="C376" s="2633"/>
      <c r="D376" s="2633"/>
      <c r="E376" s="2633"/>
      <c r="F376" s="2633"/>
      <c r="G376" s="2633"/>
    </row>
    <row r="377" spans="1:8" s="2632" customFormat="1" ht="41.25" customHeight="1">
      <c r="A377" s="2634" t="str">
        <f>'Part III-A-Uses of Funds'!$C$134</f>
        <v>&lt;&lt; Enter description here; provide detail &amp; justification in tab Part III-b &gt;&gt;</v>
      </c>
      <c r="B377" s="2634"/>
      <c r="C377" s="2634"/>
      <c r="D377" s="2634"/>
      <c r="F377" s="2635">
        <f>'Part III-B-Other Items'!F71</f>
        <v>0</v>
      </c>
      <c r="G377" s="2633"/>
      <c r="H377" s="2635">
        <f>'Part III-B-Other Items'!H71</f>
        <v>0</v>
      </c>
    </row>
    <row r="378" spans="1:8" s="2632" customFormat="1" ht="41.25" customHeight="1">
      <c r="A378" s="2634"/>
      <c r="B378" s="2634"/>
      <c r="C378" s="2634"/>
      <c r="D378" s="2634"/>
      <c r="E378" s="2633"/>
      <c r="F378" s="2635"/>
      <c r="G378" s="2633"/>
      <c r="H378" s="2635"/>
    </row>
    <row r="379" spans="1:8" s="2632" customFormat="1" ht="4.5" customHeight="1">
      <c r="A379" s="2633"/>
      <c r="B379" s="2633"/>
      <c r="C379" s="2633"/>
      <c r="D379" s="2633"/>
      <c r="E379" s="2633"/>
      <c r="F379" s="2635"/>
      <c r="G379" s="2633"/>
      <c r="H379" s="2635"/>
    </row>
    <row r="380" spans="1:8" s="2632" customFormat="1" ht="12.75" customHeight="1">
      <c r="A380" s="2636" t="s">
        <v>3125</v>
      </c>
      <c r="B380" s="2637">
        <f>'Part III-A-Uses of Funds'!$G$134</f>
        <v>0</v>
      </c>
      <c r="C380" s="2636" t="s">
        <v>1660</v>
      </c>
      <c r="D380" s="2637">
        <f>'Part III-A-Uses of Funds'!$J$134+'Part III-A-Uses of Funds'!$M$134+'Part III-A-Uses of Funds'!$P$134</f>
        <v>0</v>
      </c>
      <c r="E380" s="2633"/>
      <c r="F380" s="2635"/>
      <c r="G380" s="2633"/>
      <c r="H380" s="2635"/>
    </row>
    <row r="381" spans="1:8" s="2632" customFormat="1" ht="6" customHeight="1">
      <c r="A381" s="2633"/>
      <c r="B381" s="2638"/>
      <c r="C381" s="2633"/>
      <c r="D381" s="2633"/>
      <c r="E381" s="2633"/>
      <c r="F381" s="2635"/>
      <c r="G381" s="2639"/>
      <c r="H381" s="2635"/>
    </row>
    <row r="382" spans="1:8" s="2632" customFormat="1">
      <c r="A382" s="2625" t="s">
        <v>5074</v>
      </c>
      <c r="B382" s="2638"/>
      <c r="C382" s="2633"/>
      <c r="D382" s="2633"/>
      <c r="E382" s="2633"/>
      <c r="F382" s="2633"/>
      <c r="G382" s="2639"/>
    </row>
    <row r="383" spans="1:8" s="2632" customFormat="1" ht="41.25" customHeight="1">
      <c r="A383" s="2634" t="str">
        <f>'Part III-A-Uses of Funds'!$C$143</f>
        <v>&lt;&lt; Enter description here; provide detail &amp; justification in tab Part III-b &gt;&gt;</v>
      </c>
      <c r="B383" s="2634"/>
      <c r="C383" s="2634"/>
      <c r="D383" s="2634"/>
      <c r="F383" s="2635">
        <f>'Part III-B-Other Items'!F77</f>
        <v>0</v>
      </c>
      <c r="G383" s="2633"/>
      <c r="H383" s="2635">
        <f>'Part III-B-Other Items'!H77</f>
        <v>0</v>
      </c>
    </row>
    <row r="384" spans="1:8" s="2632" customFormat="1" ht="41.25" customHeight="1">
      <c r="A384" s="2634"/>
      <c r="B384" s="2634"/>
      <c r="C384" s="2634"/>
      <c r="D384" s="2634"/>
      <c r="E384" s="2633"/>
      <c r="F384" s="2635"/>
      <c r="G384" s="2633"/>
      <c r="H384" s="2635"/>
    </row>
    <row r="385" spans="1:13" s="2632" customFormat="1" ht="4.5" customHeight="1">
      <c r="A385" s="2633"/>
      <c r="B385" s="2633"/>
      <c r="C385" s="2633"/>
      <c r="D385" s="2633"/>
      <c r="E385" s="2633"/>
      <c r="F385" s="2635"/>
      <c r="G385" s="2633"/>
      <c r="H385" s="2635"/>
    </row>
    <row r="386" spans="1:13" s="2632" customFormat="1" ht="12.75" customHeight="1">
      <c r="A386" s="2636" t="s">
        <v>3125</v>
      </c>
      <c r="B386" s="2637">
        <f>'Part III-A-Uses of Funds'!$G$143</f>
        <v>0</v>
      </c>
      <c r="C386" s="2636" t="s">
        <v>1660</v>
      </c>
      <c r="D386" s="2637">
        <f>'Part III-A-Uses of Funds'!$J$143+'Part III-A-Uses of Funds'!$M$143+'Part III-A-Uses of Funds'!$P$143</f>
        <v>0</v>
      </c>
      <c r="E386" s="2633"/>
      <c r="F386" s="2635"/>
      <c r="G386" s="2633"/>
      <c r="H386" s="2635"/>
    </row>
    <row r="387" spans="1:13" s="2632" customFormat="1" ht="6" customHeight="1">
      <c r="D387" s="2633"/>
      <c r="E387" s="2637"/>
      <c r="F387" s="2635"/>
      <c r="G387" s="2639"/>
      <c r="H387" s="2635"/>
    </row>
    <row r="388" spans="1:13" s="2632" customFormat="1"/>
    <row r="391" spans="1:13">
      <c r="A391" s="1656" t="str">
        <f>CONCATENATE("PART FOUR - UTILITY ALLOWANCES","  -  ",'Part I-Project Identification'!$O$7," ",'Part I-Project Identification'!$F$26,", ",'Part I-Project Identification'!F334,", ",'Part I-Project Identification'!J334," County")</f>
        <v>PART FOUR - UTILITY ALLOWANCES  -  2024-0 Redland Trace, ,  County</v>
      </c>
      <c r="B391" s="1656"/>
      <c r="C391" s="1656"/>
      <c r="D391" s="1656"/>
      <c r="E391" s="1656"/>
      <c r="F391" s="1656"/>
      <c r="G391" s="1656"/>
      <c r="H391" s="1656"/>
      <c r="I391" s="1656"/>
      <c r="J391" s="1656"/>
      <c r="K391" s="1656"/>
      <c r="L391" s="1656"/>
      <c r="M391" s="1656"/>
    </row>
    <row r="393" spans="1:13">
      <c r="B393" s="2642" t="str">
        <f>'Part I-Project Identification'!$A$6</f>
        <v>2024 May 7</v>
      </c>
      <c r="C393" s="2642"/>
      <c r="D393" s="2642"/>
      <c r="E393" s="2642"/>
      <c r="F393" s="1656" t="s">
        <v>4631</v>
      </c>
      <c r="I393" s="1656" t="str">
        <f>'Part IV-Utility Allowances'!I3</f>
        <v>Georgia North</v>
      </c>
      <c r="J393" s="1656"/>
    </row>
    <row r="395" spans="1:13">
      <c r="A395" s="2643" t="s">
        <v>5075</v>
      </c>
    </row>
    <row r="397" spans="1:13">
      <c r="A397" s="360" t="s">
        <v>572</v>
      </c>
      <c r="B397" s="360" t="s">
        <v>2054</v>
      </c>
      <c r="F397" s="358" t="s">
        <v>2311</v>
      </c>
      <c r="G397" s="358"/>
      <c r="H397" s="358"/>
      <c r="I397" s="358" t="str">
        <f>'Part IV-Utility Allowances'!I7</f>
        <v>US Department of Housing and Urban Development (DCA)</v>
      </c>
      <c r="J397" s="358"/>
      <c r="K397" s="358"/>
      <c r="L397" s="358"/>
      <c r="M397" s="358"/>
    </row>
    <row r="398" spans="1:13">
      <c r="A398" s="360"/>
      <c r="F398" s="358" t="s">
        <v>592</v>
      </c>
      <c r="G398" s="358"/>
      <c r="H398" s="358"/>
      <c r="I398" s="2644">
        <f>'Part IV-Utility Allowances'!I8</f>
        <v>45292</v>
      </c>
      <c r="J398" s="2644"/>
      <c r="K398" s="1803" t="s">
        <v>504</v>
      </c>
      <c r="L398" s="358" t="str">
        <f>'Part IV-Utility Allowances'!L8</f>
        <v>High-Rise Elevator</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4" t="s">
        <v>595</v>
      </c>
      <c r="G401" s="1794" t="s">
        <v>1709</v>
      </c>
      <c r="H401" s="360"/>
      <c r="I401" s="1794" t="s">
        <v>525</v>
      </c>
      <c r="J401" s="1794">
        <v>1</v>
      </c>
      <c r="K401" s="1794">
        <v>2</v>
      </c>
      <c r="L401" s="1794">
        <v>3</v>
      </c>
      <c r="M401" s="1794">
        <v>4</v>
      </c>
    </row>
    <row r="402" spans="1:13">
      <c r="B402" s="358" t="s">
        <v>1711</v>
      </c>
      <c r="C402" s="358"/>
      <c r="D402" s="358" t="str">
        <f>'Part IV-Utility Allowances'!D12</f>
        <v>Electric</v>
      </c>
      <c r="E402" s="358"/>
      <c r="F402" s="2645" t="str">
        <f>'Part IV-Utility Allowances'!F12</f>
        <v>X</v>
      </c>
      <c r="G402" s="2645">
        <f>'Part IV-Utility Allowances'!G12</f>
        <v>0</v>
      </c>
      <c r="I402" s="1803">
        <f>'Part IV-Utility Allowances'!I12</f>
        <v>0</v>
      </c>
      <c r="J402" s="1803">
        <f>'Part IV-Utility Allowances'!J12</f>
        <v>10</v>
      </c>
      <c r="K402" s="1803">
        <f>'Part IV-Utility Allowances'!K12</f>
        <v>13</v>
      </c>
      <c r="L402" s="1803">
        <f>'Part IV-Utility Allowances'!L12</f>
        <v>18</v>
      </c>
      <c r="M402" s="1803">
        <f>'Part IV-Utility Allowances'!M12</f>
        <v>0</v>
      </c>
    </row>
    <row r="403" spans="1:13">
      <c r="B403" s="358" t="s">
        <v>1490</v>
      </c>
      <c r="C403" s="358"/>
      <c r="D403" s="358" t="str">
        <f>'Part IV-Utility Allowances'!D13</f>
        <v>Electric</v>
      </c>
      <c r="E403" s="358"/>
      <c r="F403" s="2645" t="str">
        <f>'Part IV-Utility Allowances'!F13</f>
        <v>X</v>
      </c>
      <c r="G403" s="2645">
        <f>'Part IV-Utility Allowances'!G13</f>
        <v>0</v>
      </c>
      <c r="I403" s="1803">
        <f>'Part IV-Utility Allowances'!I13</f>
        <v>0</v>
      </c>
      <c r="J403" s="1803">
        <f>'Part IV-Utility Allowances'!J13</f>
        <v>9</v>
      </c>
      <c r="K403" s="1803">
        <f>'Part IV-Utility Allowances'!K13</f>
        <v>11</v>
      </c>
      <c r="L403" s="1803">
        <f>'Part IV-Utility Allowances'!L13</f>
        <v>13</v>
      </c>
      <c r="M403" s="1803">
        <f>'Part IV-Utility Allowances'!M13</f>
        <v>0</v>
      </c>
    </row>
    <row r="404" spans="1:13">
      <c r="B404" s="358" t="s">
        <v>1491</v>
      </c>
      <c r="C404" s="358"/>
      <c r="D404" s="358" t="str">
        <f>'Part IV-Utility Allowances'!D14</f>
        <v>Electric</v>
      </c>
      <c r="E404" s="358"/>
      <c r="F404" s="2645" t="str">
        <f>'Part IV-Utility Allowances'!F14</f>
        <v>X</v>
      </c>
      <c r="G404" s="2645">
        <f>'Part IV-Utility Allowances'!G14</f>
        <v>0</v>
      </c>
      <c r="I404" s="1803">
        <f>'Part IV-Utility Allowances'!I14</f>
        <v>0</v>
      </c>
      <c r="J404" s="1803">
        <f>'Part IV-Utility Allowances'!J14</f>
        <v>16</v>
      </c>
      <c r="K404" s="1803">
        <f>'Part IV-Utility Allowances'!K14</f>
        <v>22</v>
      </c>
      <c r="L404" s="1803">
        <f>'Part IV-Utility Allowances'!L14</f>
        <v>27</v>
      </c>
      <c r="M404" s="1803">
        <f>'Part IV-Utility Allowances'!M14</f>
        <v>0</v>
      </c>
    </row>
    <row r="405" spans="1:13">
      <c r="B405" s="358" t="s">
        <v>439</v>
      </c>
      <c r="C405" s="358"/>
      <c r="D405" s="358" t="s">
        <v>1489</v>
      </c>
      <c r="F405" s="2645" t="str">
        <f>'Part IV-Utility Allowances'!F15</f>
        <v>X</v>
      </c>
      <c r="G405" s="2645">
        <f>'Part IV-Utility Allowances'!G15</f>
        <v>0</v>
      </c>
      <c r="I405" s="1803">
        <f>'Part IV-Utility Allowances'!I15</f>
        <v>0</v>
      </c>
      <c r="J405" s="1803">
        <f>'Part IV-Utility Allowances'!J15</f>
        <v>7</v>
      </c>
      <c r="K405" s="1803">
        <f>'Part IV-Utility Allowances'!K15</f>
        <v>11</v>
      </c>
      <c r="L405" s="1803">
        <f>'Part IV-Utility Allowances'!L15</f>
        <v>14</v>
      </c>
      <c r="M405" s="1803">
        <f>'Part IV-Utility Allowances'!M15</f>
        <v>0</v>
      </c>
    </row>
    <row r="406" spans="1:13">
      <c r="B406" s="358" t="s">
        <v>3187</v>
      </c>
      <c r="C406" s="358"/>
      <c r="D406" s="358" t="s">
        <v>1489</v>
      </c>
      <c r="F406" s="2645">
        <f>'Part IV-Utility Allowances'!F16</f>
        <v>0</v>
      </c>
      <c r="G406" s="2645">
        <f>'Part IV-Utility Allowances'!G16</f>
        <v>0</v>
      </c>
      <c r="I406" s="1803">
        <f>'Part IV-Utility Allowances'!I16</f>
        <v>0</v>
      </c>
      <c r="J406" s="1803">
        <f>'Part IV-Utility Allowances'!J16</f>
        <v>0</v>
      </c>
      <c r="K406" s="1803">
        <f>'Part IV-Utility Allowances'!K16</f>
        <v>0</v>
      </c>
      <c r="L406" s="1803">
        <f>'Part IV-Utility Allowances'!L16</f>
        <v>0</v>
      </c>
      <c r="M406" s="1803">
        <f>'Part IV-Utility Allowances'!M16</f>
        <v>0</v>
      </c>
    </row>
    <row r="407" spans="1:13">
      <c r="B407" s="358" t="s">
        <v>3188</v>
      </c>
      <c r="C407" s="358"/>
      <c r="D407" s="358" t="s">
        <v>1489</v>
      </c>
      <c r="F407" s="2645">
        <f>'Part IV-Utility Allowances'!F17</f>
        <v>0</v>
      </c>
      <c r="G407" s="2645">
        <f>'Part IV-Utility Allowances'!G17</f>
        <v>0</v>
      </c>
      <c r="I407" s="1803">
        <f>'Part IV-Utility Allowances'!I17</f>
        <v>0</v>
      </c>
      <c r="J407" s="1803">
        <f>'Part IV-Utility Allowances'!J17</f>
        <v>0</v>
      </c>
      <c r="K407" s="1803">
        <f>'Part IV-Utility Allowances'!K17</f>
        <v>0</v>
      </c>
      <c r="L407" s="1803">
        <f>'Part IV-Utility Allowances'!L17</f>
        <v>0</v>
      </c>
      <c r="M407" s="1803">
        <f>'Part IV-Utility Allowances'!M17</f>
        <v>0</v>
      </c>
    </row>
    <row r="408" spans="1:13">
      <c r="B408" s="358" t="s">
        <v>3189</v>
      </c>
      <c r="C408" s="358"/>
      <c r="D408" s="358" t="s">
        <v>1489</v>
      </c>
      <c r="F408" s="2645" t="str">
        <f>'Part IV-Utility Allowances'!F18</f>
        <v>X</v>
      </c>
      <c r="G408" s="2645">
        <f>'Part IV-Utility Allowances'!G18</f>
        <v>0</v>
      </c>
      <c r="I408" s="1803">
        <f>'Part IV-Utility Allowances'!I18</f>
        <v>0</v>
      </c>
      <c r="J408" s="1803">
        <f>'Part IV-Utility Allowances'!J18</f>
        <v>25</v>
      </c>
      <c r="K408" s="1803">
        <f>'Part IV-Utility Allowances'!K18</f>
        <v>32</v>
      </c>
      <c r="L408" s="1803">
        <f>'Part IV-Utility Allowances'!L18</f>
        <v>39</v>
      </c>
      <c r="M408" s="1803">
        <f>'Part IV-Utility Allowances'!M18</f>
        <v>0</v>
      </c>
    </row>
    <row r="409" spans="1:13">
      <c r="B409" s="358" t="s">
        <v>1290</v>
      </c>
      <c r="C409" s="358"/>
      <c r="D409" s="358" t="s">
        <v>5034</v>
      </c>
      <c r="E409" s="1803" t="str">
        <f>'Part IV-Utility Allowances'!E19</f>
        <v>Yes</v>
      </c>
      <c r="F409" s="2645" t="str">
        <f>'Part IV-Utility Allowances'!F19</f>
        <v>X</v>
      </c>
      <c r="G409" s="2645">
        <f>'Part IV-Utility Allowances'!G19</f>
        <v>0</v>
      </c>
      <c r="I409" s="1803">
        <f>'Part IV-Utility Allowances'!I19</f>
        <v>0</v>
      </c>
      <c r="J409" s="1803">
        <f>'Part IV-Utility Allowances'!J19</f>
        <v>51</v>
      </c>
      <c r="K409" s="1803">
        <f>'Part IV-Utility Allowances'!K19</f>
        <v>59</v>
      </c>
      <c r="L409" s="1803">
        <f>'Part IV-Utility Allowances'!L19</f>
        <v>73</v>
      </c>
      <c r="M409" s="1803">
        <f>'Part IV-Utility Allowances'!M19</f>
        <v>0</v>
      </c>
    </row>
    <row r="410" spans="1:13">
      <c r="B410" s="358" t="s">
        <v>1710</v>
      </c>
      <c r="C410" s="358"/>
      <c r="F410" s="2645">
        <f>'Part IV-Utility Allowances'!F20</f>
        <v>0</v>
      </c>
      <c r="G410" s="2645" t="str">
        <f>'Part IV-Utility Allowances'!G20</f>
        <v>X</v>
      </c>
      <c r="I410" s="1803">
        <f>'Part IV-Utility Allowances'!I20</f>
        <v>0</v>
      </c>
      <c r="J410" s="1803">
        <f>'Part IV-Utility Allowances'!J20</f>
        <v>0</v>
      </c>
      <c r="K410" s="1803">
        <f>'Part IV-Utility Allowances'!K20</f>
        <v>0</v>
      </c>
      <c r="L410" s="1803">
        <f>'Part IV-Utility Allowances'!L20</f>
        <v>0</v>
      </c>
      <c r="M410" s="1803">
        <f>'Part IV-Utility Allowances'!M20</f>
        <v>0</v>
      </c>
    </row>
    <row r="411" spans="1:13">
      <c r="B411" s="358" t="s">
        <v>689</v>
      </c>
      <c r="C411" s="361">
        <f>'Part IV-Utility Allowances'!C21</f>
        <v>0</v>
      </c>
      <c r="D411" s="361"/>
      <c r="E411" s="361"/>
      <c r="F411" s="2645">
        <f>'Part IV-Utility Allowances'!F21</f>
        <v>0</v>
      </c>
      <c r="G411" s="2645">
        <f>'Part IV-Utility Allowances'!G21</f>
        <v>0</v>
      </c>
      <c r="I411" s="1803">
        <f>'Part IV-Utility Allowances'!I21</f>
        <v>0</v>
      </c>
      <c r="J411" s="1803">
        <f>'Part IV-Utility Allowances'!J21</f>
        <v>0</v>
      </c>
      <c r="K411" s="1803">
        <f>'Part IV-Utility Allowances'!K21</f>
        <v>0</v>
      </c>
      <c r="L411" s="1803">
        <f>'Part IV-Utility Allowances'!L21</f>
        <v>0</v>
      </c>
      <c r="M411" s="1803">
        <f>'Part IV-Utility Allowances'!M21</f>
        <v>0</v>
      </c>
    </row>
    <row r="412" spans="1:13">
      <c r="B412" s="360" t="s">
        <v>955</v>
      </c>
      <c r="F412" s="1657"/>
      <c r="G412" s="1657"/>
      <c r="I412" s="2645">
        <f>IF(SUM(I402:I411)=0,0,IF(OR($D402="&lt;&lt;Select Fuel &gt;&gt;",$D403="&lt;&lt;Select Fuel &gt;&gt;",$D404="&lt;&lt;Select Fuel &gt;&gt;"),"Select Fuel",IF($E409="&lt;Select&gt;","Submeter?",SUM(I402:I411))))</f>
        <v>0</v>
      </c>
      <c r="J412" s="2645">
        <f>IF(SUM(J402:J411)=0,0,IF(OR($D402="&lt;&lt;Select Fuel &gt;&gt;",$D403="&lt;&lt;Select Fuel &gt;&gt;",$D404="&lt;&lt;Select Fuel &gt;&gt;"),"Select Fuel",IF($E409="&lt;Select&gt;","Submeter?",SUM(J402:J411))))</f>
        <v>118</v>
      </c>
      <c r="K412" s="2645">
        <f>IF(SUM(K402:K411)=0,0,IF(OR($D402="&lt;&lt;Select Fuel &gt;&gt;",$D403="&lt;&lt;Select Fuel &gt;&gt;",$D404="&lt;&lt;Select Fuel &gt;&gt;"),"Select Fuel",IF($E409="&lt;Select&gt;","Submeter?",SUM(K402:K411))))</f>
        <v>148</v>
      </c>
      <c r="L412" s="2645">
        <f>IF(SUM(L402:L411)=0,0,IF(OR($D402="&lt;&lt;Select Fuel &gt;&gt;",$D403="&lt;&lt;Select Fuel &gt;&gt;",$D404="&lt;&lt;Select Fuel &gt;&gt;"),"Select Fuel",IF($E409="&lt;Select&gt;","Submeter?",SUM(L402:L411))))</f>
        <v>184</v>
      </c>
      <c r="M412" s="2645">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4">
        <f>'Part IV-Utility Allowances'!I25</f>
        <v>0</v>
      </c>
      <c r="J415" s="2644"/>
      <c r="K415" s="1803"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4" t="s">
        <v>595</v>
      </c>
      <c r="G418" s="1794" t="s">
        <v>1709</v>
      </c>
      <c r="H418" s="360"/>
      <c r="I418" s="1794" t="s">
        <v>525</v>
      </c>
      <c r="J418" s="1794">
        <v>1</v>
      </c>
      <c r="K418" s="1794">
        <v>2</v>
      </c>
      <c r="L418" s="1794">
        <v>3</v>
      </c>
      <c r="M418" s="1794">
        <v>4</v>
      </c>
    </row>
    <row r="419" spans="1:13">
      <c r="B419" s="358" t="s">
        <v>1711</v>
      </c>
      <c r="C419" s="358"/>
      <c r="D419" s="358" t="str">
        <f>'Part IV-Utility Allowances'!D29</f>
        <v>&lt;&lt;Select Fuel &gt;&gt;</v>
      </c>
      <c r="E419" s="358"/>
      <c r="F419" s="2645">
        <f>'Part IV-Utility Allowances'!F29</f>
        <v>0</v>
      </c>
      <c r="G419" s="2645">
        <f>'Part IV-Utility Allowances'!G29</f>
        <v>0</v>
      </c>
      <c r="I419" s="1803">
        <f>'Part IV-Utility Allowances'!I29</f>
        <v>0</v>
      </c>
      <c r="J419" s="1803">
        <f>'Part IV-Utility Allowances'!J29</f>
        <v>0</v>
      </c>
      <c r="K419" s="1803">
        <f>'Part IV-Utility Allowances'!K29</f>
        <v>0</v>
      </c>
      <c r="L419" s="1803">
        <f>'Part IV-Utility Allowances'!L29</f>
        <v>0</v>
      </c>
      <c r="M419" s="1803">
        <f>'Part IV-Utility Allowances'!M29</f>
        <v>0</v>
      </c>
    </row>
    <row r="420" spans="1:13">
      <c r="B420" s="358" t="s">
        <v>1490</v>
      </c>
      <c r="C420" s="358"/>
      <c r="D420" s="358" t="str">
        <f>'Part IV-Utility Allowances'!D30</f>
        <v>&lt;&lt;Select Fuel &gt;&gt;</v>
      </c>
      <c r="E420" s="358"/>
      <c r="F420" s="2645">
        <f>'Part IV-Utility Allowances'!F30</f>
        <v>0</v>
      </c>
      <c r="G420" s="2645">
        <f>'Part IV-Utility Allowances'!G30</f>
        <v>0</v>
      </c>
      <c r="I420" s="1803">
        <f>'Part IV-Utility Allowances'!I30</f>
        <v>0</v>
      </c>
      <c r="J420" s="1803">
        <f>'Part IV-Utility Allowances'!J30</f>
        <v>0</v>
      </c>
      <c r="K420" s="1803">
        <f>'Part IV-Utility Allowances'!K30</f>
        <v>0</v>
      </c>
      <c r="L420" s="1803">
        <f>'Part IV-Utility Allowances'!L30</f>
        <v>0</v>
      </c>
      <c r="M420" s="1803">
        <f>'Part IV-Utility Allowances'!M30</f>
        <v>0</v>
      </c>
    </row>
    <row r="421" spans="1:13">
      <c r="B421" s="358" t="s">
        <v>1491</v>
      </c>
      <c r="C421" s="358"/>
      <c r="D421" s="358" t="str">
        <f>'Part IV-Utility Allowances'!D31</f>
        <v>&lt;&lt;Select Fuel &gt;&gt;</v>
      </c>
      <c r="E421" s="358"/>
      <c r="F421" s="2645">
        <f>'Part IV-Utility Allowances'!F31</f>
        <v>0</v>
      </c>
      <c r="G421" s="2645">
        <f>'Part IV-Utility Allowances'!G31</f>
        <v>0</v>
      </c>
      <c r="I421" s="1803">
        <f>'Part IV-Utility Allowances'!I31</f>
        <v>0</v>
      </c>
      <c r="J421" s="1803">
        <f>'Part IV-Utility Allowances'!J31</f>
        <v>0</v>
      </c>
      <c r="K421" s="1803">
        <f>'Part IV-Utility Allowances'!K31</f>
        <v>0</v>
      </c>
      <c r="L421" s="1803">
        <f>'Part IV-Utility Allowances'!L31</f>
        <v>0</v>
      </c>
      <c r="M421" s="1803">
        <f>'Part IV-Utility Allowances'!M31</f>
        <v>0</v>
      </c>
    </row>
    <row r="422" spans="1:13">
      <c r="B422" s="358" t="s">
        <v>439</v>
      </c>
      <c r="C422" s="358"/>
      <c r="D422" s="358" t="s">
        <v>1489</v>
      </c>
      <c r="F422" s="2645">
        <f>'Part IV-Utility Allowances'!F32</f>
        <v>0</v>
      </c>
      <c r="G422" s="2645">
        <f>'Part IV-Utility Allowances'!G32</f>
        <v>0</v>
      </c>
      <c r="I422" s="1803">
        <f>'Part IV-Utility Allowances'!I32</f>
        <v>0</v>
      </c>
      <c r="J422" s="1803">
        <f>'Part IV-Utility Allowances'!J32</f>
        <v>0</v>
      </c>
      <c r="K422" s="1803">
        <f>'Part IV-Utility Allowances'!K32</f>
        <v>0</v>
      </c>
      <c r="L422" s="1803">
        <f>'Part IV-Utility Allowances'!L32</f>
        <v>0</v>
      </c>
      <c r="M422" s="1803">
        <f>'Part IV-Utility Allowances'!M32</f>
        <v>0</v>
      </c>
    </row>
    <row r="423" spans="1:13">
      <c r="B423" s="358" t="s">
        <v>3187</v>
      </c>
      <c r="C423" s="358"/>
      <c r="D423" s="358" t="s">
        <v>1489</v>
      </c>
      <c r="F423" s="2645">
        <f>'Part IV-Utility Allowances'!F33</f>
        <v>0</v>
      </c>
      <c r="G423" s="2645">
        <f>'Part IV-Utility Allowances'!G33</f>
        <v>0</v>
      </c>
      <c r="I423" s="1803">
        <f>'Part IV-Utility Allowances'!I33</f>
        <v>0</v>
      </c>
      <c r="J423" s="1803">
        <f>'Part IV-Utility Allowances'!J33</f>
        <v>0</v>
      </c>
      <c r="K423" s="1803">
        <f>'Part IV-Utility Allowances'!K33</f>
        <v>0</v>
      </c>
      <c r="L423" s="1803">
        <f>'Part IV-Utility Allowances'!L33</f>
        <v>0</v>
      </c>
      <c r="M423" s="1803">
        <f>'Part IV-Utility Allowances'!M33</f>
        <v>0</v>
      </c>
    </row>
    <row r="424" spans="1:13">
      <c r="B424" s="358" t="s">
        <v>3188</v>
      </c>
      <c r="C424" s="358"/>
      <c r="D424" s="358" t="s">
        <v>1489</v>
      </c>
      <c r="F424" s="2645">
        <f>'Part IV-Utility Allowances'!F34</f>
        <v>0</v>
      </c>
      <c r="G424" s="2645">
        <f>'Part IV-Utility Allowances'!G34</f>
        <v>0</v>
      </c>
      <c r="I424" s="1803">
        <f>'Part IV-Utility Allowances'!I34</f>
        <v>0</v>
      </c>
      <c r="J424" s="1803">
        <f>'Part IV-Utility Allowances'!J34</f>
        <v>0</v>
      </c>
      <c r="K424" s="1803">
        <f>'Part IV-Utility Allowances'!K34</f>
        <v>0</v>
      </c>
      <c r="L424" s="1803">
        <f>'Part IV-Utility Allowances'!L34</f>
        <v>0</v>
      </c>
      <c r="M424" s="1803">
        <f>'Part IV-Utility Allowances'!M34</f>
        <v>0</v>
      </c>
    </row>
    <row r="425" spans="1:13">
      <c r="B425" s="358" t="s">
        <v>3189</v>
      </c>
      <c r="C425" s="358"/>
      <c r="D425" s="358" t="s">
        <v>1489</v>
      </c>
      <c r="F425" s="2645">
        <f>'Part IV-Utility Allowances'!F35</f>
        <v>0</v>
      </c>
      <c r="G425" s="2645">
        <f>'Part IV-Utility Allowances'!G35</f>
        <v>0</v>
      </c>
      <c r="I425" s="1803">
        <f>'Part IV-Utility Allowances'!I35</f>
        <v>0</v>
      </c>
      <c r="J425" s="1803">
        <f>'Part IV-Utility Allowances'!J35</f>
        <v>0</v>
      </c>
      <c r="K425" s="1803">
        <f>'Part IV-Utility Allowances'!K35</f>
        <v>0</v>
      </c>
      <c r="L425" s="1803">
        <f>'Part IV-Utility Allowances'!L35</f>
        <v>0</v>
      </c>
      <c r="M425" s="1803">
        <f>'Part IV-Utility Allowances'!M35</f>
        <v>0</v>
      </c>
    </row>
    <row r="426" spans="1:13">
      <c r="B426" s="358" t="s">
        <v>1290</v>
      </c>
      <c r="C426" s="358"/>
      <c r="D426" s="358" t="s">
        <v>5034</v>
      </c>
      <c r="E426" s="1803" t="str">
        <f>'Part IV-Utility Allowances'!E36</f>
        <v>&lt;Select&gt;</v>
      </c>
      <c r="F426" s="2645">
        <f>'Part IV-Utility Allowances'!F36</f>
        <v>0</v>
      </c>
      <c r="G426" s="2645">
        <f>'Part IV-Utility Allowances'!G36</f>
        <v>0</v>
      </c>
      <c r="I426" s="1803">
        <f>'Part IV-Utility Allowances'!I36</f>
        <v>0</v>
      </c>
      <c r="J426" s="1803">
        <f>'Part IV-Utility Allowances'!J36</f>
        <v>0</v>
      </c>
      <c r="K426" s="1803">
        <f>'Part IV-Utility Allowances'!K36</f>
        <v>0</v>
      </c>
      <c r="L426" s="1803">
        <f>'Part IV-Utility Allowances'!L36</f>
        <v>0</v>
      </c>
      <c r="M426" s="1803">
        <f>'Part IV-Utility Allowances'!M36</f>
        <v>0</v>
      </c>
    </row>
    <row r="427" spans="1:13">
      <c r="B427" s="358" t="s">
        <v>1710</v>
      </c>
      <c r="C427" s="358"/>
      <c r="F427" s="2645">
        <f>'Part IV-Utility Allowances'!F37</f>
        <v>0</v>
      </c>
      <c r="G427" s="2645">
        <f>'Part IV-Utility Allowances'!G37</f>
        <v>0</v>
      </c>
      <c r="I427" s="1803">
        <f>'Part IV-Utility Allowances'!I37</f>
        <v>0</v>
      </c>
      <c r="J427" s="1803">
        <f>'Part IV-Utility Allowances'!J37</f>
        <v>0</v>
      </c>
      <c r="K427" s="1803">
        <f>'Part IV-Utility Allowances'!K37</f>
        <v>0</v>
      </c>
      <c r="L427" s="1803">
        <f>'Part IV-Utility Allowances'!L37</f>
        <v>0</v>
      </c>
      <c r="M427" s="1803">
        <f>'Part IV-Utility Allowances'!M37</f>
        <v>0</v>
      </c>
    </row>
    <row r="428" spans="1:13">
      <c r="B428" s="358" t="s">
        <v>689</v>
      </c>
      <c r="C428" s="361">
        <f>'Part IV-Utility Allowances'!C38</f>
        <v>0</v>
      </c>
      <c r="D428" s="361"/>
      <c r="E428" s="361"/>
      <c r="F428" s="2645">
        <f>'Part IV-Utility Allowances'!F38</f>
        <v>0</v>
      </c>
      <c r="G428" s="2645">
        <f>'Part IV-Utility Allowances'!G38</f>
        <v>0</v>
      </c>
      <c r="I428" s="1803">
        <f>'Part IV-Utility Allowances'!I38</f>
        <v>0</v>
      </c>
      <c r="J428" s="1803">
        <f>'Part IV-Utility Allowances'!J38</f>
        <v>0</v>
      </c>
      <c r="K428" s="1803">
        <f>'Part IV-Utility Allowances'!K38</f>
        <v>0</v>
      </c>
      <c r="L428" s="1803">
        <f>'Part IV-Utility Allowances'!L38</f>
        <v>0</v>
      </c>
      <c r="M428" s="1803">
        <f>'Part IV-Utility Allowances'!M38</f>
        <v>0</v>
      </c>
    </row>
    <row r="429" spans="1:13">
      <c r="B429" s="360" t="s">
        <v>955</v>
      </c>
      <c r="F429" s="1657"/>
      <c r="G429" s="1657"/>
      <c r="I429" s="2645">
        <f>IF(SUM(I419:I428)=0,0,IF(OR($D419="&lt;&lt;Select Fuel &gt;&gt;",$D421="&lt;&lt;Select Fuel &gt;&gt;",$D422="&lt;&lt;Select Fuel &gt;&gt;"),"Select Fuel",IF($E426="&lt;Select&gt;","Submeter?",SUM(I419:I428))))</f>
        <v>0</v>
      </c>
      <c r="J429" s="2645">
        <f>IF(SUM(J419:J428)=0,0,IF(OR($D419="&lt;&lt;Select Fuel &gt;&gt;",$D421="&lt;&lt;Select Fuel &gt;&gt;",$D422="&lt;&lt;Select Fuel &gt;&gt;"),"Select Fuel",IF($E426="&lt;Select&gt;","Submeter?",SUM(J419:J428))))</f>
        <v>0</v>
      </c>
      <c r="K429" s="2645">
        <f>IF(SUM(K419:K428)=0,0,IF(OR($D419="&lt;&lt;Select Fuel &gt;&gt;",$D421="&lt;&lt;Select Fuel &gt;&gt;",$D422="&lt;&lt;Select Fuel &gt;&gt;"),"Select Fuel",IF($E426="&lt;Select&gt;","Submeter?",SUM(K419:K428))))</f>
        <v>0</v>
      </c>
      <c r="L429" s="2645">
        <f>IF(SUM(L419:L428)=0,0,IF(OR($D419="&lt;&lt;Select Fuel &gt;&gt;",$D421="&lt;&lt;Select Fuel &gt;&gt;",$D422="&lt;&lt;Select Fuel &gt;&gt;"),"Select Fuel",IF($E426="&lt;Select&gt;","Submeter?",SUM(L419:L428))))</f>
        <v>0</v>
      </c>
      <c r="M429" s="2645">
        <f>IF(SUM(M419:M428)=0,0,IF(OR($D419="&lt;&lt;Select Fuel &gt;&gt;",$D421="&lt;&lt;Select Fuel &gt;&gt;",$D422="&lt;&lt;Select Fuel &gt;&gt;"),"Select Fuel",IF($E426="&lt;Select&gt;","Submeter?",SUM(M419:M428))))</f>
        <v>0</v>
      </c>
    </row>
    <row r="431" spans="1:13">
      <c r="B431" s="794" t="s">
        <v>5035</v>
      </c>
      <c r="F431" s="1657"/>
      <c r="G431" s="1657"/>
      <c r="I431" s="1794"/>
      <c r="J431" s="1794"/>
      <c r="K431" s="1794"/>
      <c r="L431" s="1794"/>
      <c r="M431" s="1794"/>
    </row>
    <row r="432" spans="1:13">
      <c r="A432" s="360"/>
      <c r="B432" s="360" t="s">
        <v>529</v>
      </c>
    </row>
    <row r="433" spans="1:358">
      <c r="B433" s="2646" t="str">
        <f>'Part IV-Utility Allowances'!B43</f>
        <v>Applicant has provided the Georgia North UAs as supporting documentation in folder 52</v>
      </c>
      <c r="C433" s="2646"/>
      <c r="D433" s="2646"/>
      <c r="E433" s="2646"/>
      <c r="F433" s="2646"/>
      <c r="G433" s="2646"/>
      <c r="H433" s="2646"/>
      <c r="I433" s="2646"/>
      <c r="J433" s="2646"/>
      <c r="K433" s="2646"/>
      <c r="L433" s="2646"/>
      <c r="M433" s="2646"/>
    </row>
    <row r="435" spans="1:358">
      <c r="A435" s="360"/>
      <c r="B435" s="360" t="s">
        <v>1706</v>
      </c>
    </row>
    <row r="436" spans="1:358">
      <c r="B436" s="2646"/>
      <c r="C436" s="2646"/>
      <c r="D436" s="2646"/>
      <c r="E436" s="2646"/>
      <c r="F436" s="2646"/>
      <c r="G436" s="2646"/>
      <c r="H436" s="2646"/>
      <c r="I436" s="2646"/>
      <c r="J436" s="2646"/>
      <c r="K436" s="2646"/>
      <c r="L436" s="2646"/>
      <c r="M436" s="2646"/>
    </row>
    <row r="440" spans="1:358" s="358" customFormat="1" ht="14.1" customHeight="1">
      <c r="A440" s="1656" t="str">
        <f>CONCATENATE("PART FOUR - PROJECTED REVENUES &amp; EXPENSES","  -  ",'Part I-Project Identification'!$O$7," ",'Part I-Project Identification'!$F$26,", ",'Part I-Project Identification'!F382,", ",'Part I-Project Identification'!J382," County")</f>
        <v>PART FOUR - PROJECTED REVENUES &amp; EXPENSES  -  2024-0 Redland Trace, ,  County</v>
      </c>
      <c r="B440" s="1656"/>
      <c r="C440" s="1656"/>
      <c r="D440" s="1656"/>
      <c r="E440" s="1656"/>
      <c r="F440" s="1656"/>
      <c r="G440" s="1656"/>
      <c r="H440" s="1656"/>
      <c r="I440" s="1656"/>
      <c r="J440" s="1656"/>
      <c r="K440" s="1656"/>
      <c r="L440" s="1656"/>
      <c r="M440" s="1656"/>
      <c r="N440" s="1656"/>
      <c r="O440" s="1656"/>
      <c r="P440" s="1656"/>
      <c r="Q440" s="1656"/>
      <c r="T440" s="1656" t="str">
        <f>A440</f>
        <v>PART FOUR - PROJECTED REVENUES &amp; EXPENSES  -  2024-0 Redland Trace, ,  County</v>
      </c>
      <c r="U440" s="1656"/>
      <c r="V440" s="1656"/>
      <c r="W440" s="1656"/>
      <c r="HX440" s="1803"/>
      <c r="HY440" s="1803"/>
      <c r="HZ440" s="1803"/>
      <c r="IA440" s="1803"/>
      <c r="IB440" s="1803"/>
      <c r="IC440" s="1803"/>
      <c r="ID440" s="1803"/>
      <c r="IE440" s="1803"/>
      <c r="IF440" s="1803"/>
      <c r="IG440" s="1803"/>
      <c r="IH440" s="1803"/>
      <c r="II440" s="1803"/>
      <c r="IJ440" s="1803"/>
      <c r="IK440" s="1803"/>
      <c r="IL440" s="1803"/>
      <c r="IM440" s="1803"/>
      <c r="IN440" s="1803"/>
      <c r="IO440" s="1803"/>
      <c r="IP440" s="1803"/>
      <c r="IQ440" s="1803"/>
      <c r="IR440" s="1803"/>
      <c r="IS440" s="1803"/>
      <c r="IT440" s="1803"/>
      <c r="IU440" s="1803"/>
      <c r="IV440" s="1803"/>
      <c r="IW440" s="1803"/>
      <c r="IX440" s="1803"/>
      <c r="IY440" s="1803"/>
      <c r="IZ440" s="1803"/>
      <c r="JA440" s="1803"/>
      <c r="JB440" s="1803"/>
      <c r="JC440" s="1803"/>
      <c r="JD440" s="1803"/>
      <c r="JE440" s="1803"/>
      <c r="JF440" s="1803"/>
      <c r="JG440" s="1803"/>
      <c r="JH440" s="1803"/>
      <c r="JI440" s="1803"/>
      <c r="JJ440" s="1803"/>
      <c r="JK440" s="1803"/>
      <c r="JL440" s="1803"/>
      <c r="JM440" s="1803"/>
      <c r="JN440" s="1803"/>
      <c r="JO440" s="1803"/>
      <c r="JP440" s="1803"/>
      <c r="JQ440" s="1803"/>
      <c r="JR440" s="1803"/>
      <c r="JS440" s="1803"/>
      <c r="JT440" s="1803"/>
      <c r="JU440" s="1803"/>
      <c r="JV440" s="1803"/>
      <c r="JW440" s="1803"/>
      <c r="JX440" s="1803"/>
      <c r="JY440" s="1803"/>
      <c r="JZ440" s="1803"/>
      <c r="KA440" s="1803"/>
      <c r="KB440" s="1803"/>
      <c r="KC440" s="1803"/>
      <c r="KD440" s="1803"/>
      <c r="KE440" s="1803"/>
      <c r="KF440" s="1803"/>
      <c r="KG440" s="1803"/>
      <c r="KH440" s="1803"/>
      <c r="KI440" s="1803"/>
      <c r="KJ440" s="1803"/>
      <c r="KK440" s="1803"/>
      <c r="KL440" s="1803"/>
      <c r="KO440" s="1656"/>
      <c r="KT440" s="1656"/>
      <c r="KY440" s="1656"/>
      <c r="LD440" s="1656"/>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3"/>
      <c r="IA441" s="1793"/>
      <c r="IB441" s="1793"/>
      <c r="IC441" s="1793"/>
      <c r="ID441" s="1793"/>
      <c r="IE441" s="1793"/>
      <c r="IF441" s="1793"/>
      <c r="IG441" s="1793"/>
      <c r="IH441" s="1793"/>
      <c r="II441" s="1793"/>
      <c r="IJ441" s="1793"/>
      <c r="IK441" s="1793"/>
      <c r="IL441" s="1793"/>
      <c r="IM441" s="1793"/>
      <c r="IN441" s="1793"/>
      <c r="IO441" s="1793"/>
      <c r="IP441" s="1793"/>
      <c r="IQ441" s="1793"/>
      <c r="IR441" s="1793"/>
      <c r="IS441" s="1793"/>
      <c r="IT441" s="1793"/>
      <c r="IU441" s="1793"/>
      <c r="IV441" s="1793"/>
      <c r="IW441" s="1793"/>
      <c r="IX441" s="1793"/>
      <c r="IY441" s="1793"/>
      <c r="IZ441" s="1793"/>
      <c r="JA441" s="1793"/>
      <c r="JB441" s="1793"/>
      <c r="JC441" s="1793"/>
      <c r="JD441" s="1793"/>
      <c r="JE441" s="1793"/>
      <c r="JF441" s="1793"/>
      <c r="JG441" s="1793"/>
      <c r="JH441" s="1793"/>
      <c r="JI441" s="1793"/>
      <c r="JJ441" s="1793"/>
      <c r="JK441" s="1793"/>
      <c r="JL441" s="1793"/>
      <c r="JM441" s="1793"/>
      <c r="JN441" s="1793"/>
      <c r="JO441" s="1793"/>
      <c r="JP441" s="1793"/>
      <c r="JQ441" s="1793"/>
      <c r="JR441" s="1793"/>
      <c r="JS441" s="1793"/>
      <c r="JT441" s="1793"/>
      <c r="JU441" s="1793"/>
      <c r="JV441" s="1793"/>
      <c r="JW441" s="1793"/>
      <c r="JX441" s="1793"/>
      <c r="JY441" s="1793"/>
      <c r="JZ441" s="1793"/>
      <c r="KA441" s="1793"/>
      <c r="KB441" s="1793"/>
      <c r="KC441" s="1793"/>
      <c r="KD441" s="1793"/>
      <c r="KE441" s="1793"/>
      <c r="KF441" s="1793"/>
      <c r="KG441" s="1793"/>
      <c r="KH441" s="1793"/>
      <c r="KI441" s="1793"/>
      <c r="KJ441" s="1793"/>
      <c r="KK441" s="1793"/>
      <c r="KL441" s="1793"/>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6" t="s">
        <v>572</v>
      </c>
      <c r="B442" s="1656" t="s">
        <v>2177</v>
      </c>
      <c r="D442" s="2516" t="s">
        <v>3996</v>
      </c>
      <c r="E442" s="2516"/>
      <c r="F442" s="2516"/>
      <c r="G442" s="2516"/>
      <c r="H442" s="2516"/>
      <c r="I442" s="2516"/>
      <c r="J442" s="2516"/>
      <c r="K442" s="1656"/>
      <c r="L442" s="1656"/>
      <c r="M442" s="1656"/>
      <c r="O442" s="2647" t="s">
        <v>533</v>
      </c>
      <c r="P442" s="2648" t="str">
        <f>'Part I-Project Identification'!$O$29</f>
        <v>Atlanta-Sandy Springs-Marietta</v>
      </c>
      <c r="Q442" s="2648"/>
      <c r="T442" s="1656" t="str">
        <f>B442</f>
        <v>RENT SCHEDULE</v>
      </c>
      <c r="U442" s="1656"/>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4"/>
      <c r="IA442" s="1804"/>
      <c r="IB442" s="1804"/>
      <c r="IC442" s="1804"/>
      <c r="ID442" s="1804"/>
      <c r="IE442" s="1793" t="s">
        <v>456</v>
      </c>
      <c r="IF442" s="1793" t="s">
        <v>2239</v>
      </c>
      <c r="IG442" s="1793" t="s">
        <v>2240</v>
      </c>
      <c r="IH442" s="1793" t="s">
        <v>2241</v>
      </c>
      <c r="II442" s="1793" t="s">
        <v>2242</v>
      </c>
      <c r="IJ442" s="1793" t="s">
        <v>456</v>
      </c>
      <c r="IK442" s="1793" t="s">
        <v>2239</v>
      </c>
      <c r="IL442" s="1793" t="s">
        <v>2240</v>
      </c>
      <c r="IM442" s="1793" t="s">
        <v>2241</v>
      </c>
      <c r="IN442" s="1793" t="s">
        <v>2242</v>
      </c>
      <c r="IO442" s="1804"/>
      <c r="IP442" s="1804"/>
      <c r="IQ442" s="1804"/>
      <c r="IR442" s="1804"/>
      <c r="IS442" s="1804"/>
      <c r="IT442" s="1804"/>
      <c r="IU442" s="1804"/>
      <c r="IV442" s="1804"/>
      <c r="IW442" s="1804"/>
      <c r="IX442" s="1804"/>
      <c r="IY442" s="1793" t="s">
        <v>456</v>
      </c>
      <c r="IZ442" s="1793" t="s">
        <v>2239</v>
      </c>
      <c r="JA442" s="1793" t="s">
        <v>2240</v>
      </c>
      <c r="JB442" s="1793" t="s">
        <v>2241</v>
      </c>
      <c r="JC442" s="1793" t="s">
        <v>2242</v>
      </c>
      <c r="JD442" s="1793" t="s">
        <v>456</v>
      </c>
      <c r="JE442" s="1793" t="s">
        <v>2239</v>
      </c>
      <c r="JF442" s="1793" t="s">
        <v>2240</v>
      </c>
      <c r="JG442" s="1793" t="s">
        <v>2241</v>
      </c>
      <c r="JH442" s="1793" t="s">
        <v>2242</v>
      </c>
      <c r="JI442" s="1793" t="s">
        <v>456</v>
      </c>
      <c r="JJ442" s="1793" t="s">
        <v>2239</v>
      </c>
      <c r="JK442" s="1793" t="s">
        <v>2240</v>
      </c>
      <c r="JL442" s="1793" t="s">
        <v>2241</v>
      </c>
      <c r="JM442" s="1793" t="s">
        <v>2242</v>
      </c>
      <c r="JN442" s="1793" t="s">
        <v>456</v>
      </c>
      <c r="JO442" s="1793" t="s">
        <v>2239</v>
      </c>
      <c r="JP442" s="1793" t="s">
        <v>2240</v>
      </c>
      <c r="JQ442" s="1793" t="s">
        <v>2241</v>
      </c>
      <c r="JR442" s="1793" t="s">
        <v>2242</v>
      </c>
      <c r="JS442" s="1793" t="s">
        <v>456</v>
      </c>
      <c r="JT442" s="1793" t="s">
        <v>2239</v>
      </c>
      <c r="JU442" s="1793" t="s">
        <v>2240</v>
      </c>
      <c r="JV442" s="1793" t="s">
        <v>2241</v>
      </c>
      <c r="JW442" s="1793" t="s">
        <v>2242</v>
      </c>
      <c r="JX442" s="1793" t="s">
        <v>456</v>
      </c>
      <c r="JY442" s="1793" t="s">
        <v>2239</v>
      </c>
      <c r="JZ442" s="1793" t="s">
        <v>2240</v>
      </c>
      <c r="KA442" s="1793" t="s">
        <v>2241</v>
      </c>
      <c r="KB442" s="1793" t="s">
        <v>2242</v>
      </c>
      <c r="KC442" s="1793" t="s">
        <v>456</v>
      </c>
      <c r="KD442" s="1793" t="s">
        <v>2239</v>
      </c>
      <c r="KE442" s="1793" t="s">
        <v>2240</v>
      </c>
      <c r="KF442" s="1793" t="s">
        <v>2241</v>
      </c>
      <c r="KG442" s="1793" t="s">
        <v>2242</v>
      </c>
      <c r="KH442" s="1793" t="s">
        <v>456</v>
      </c>
      <c r="KI442" s="1793" t="s">
        <v>2239</v>
      </c>
      <c r="KJ442" s="1793" t="s">
        <v>2240</v>
      </c>
      <c r="KK442" s="1793" t="s">
        <v>2241</v>
      </c>
      <c r="KL442" s="1793" t="s">
        <v>2242</v>
      </c>
      <c r="KM442" s="1793" t="s">
        <v>456</v>
      </c>
      <c r="KN442" s="1793" t="s">
        <v>2239</v>
      </c>
      <c r="KO442" s="1793" t="s">
        <v>2240</v>
      </c>
      <c r="KP442" s="1793" t="s">
        <v>2241</v>
      </c>
      <c r="KQ442" s="1793" t="s">
        <v>2242</v>
      </c>
      <c r="KR442" s="1793" t="s">
        <v>456</v>
      </c>
      <c r="KS442" s="1793" t="s">
        <v>2239</v>
      </c>
      <c r="KT442" s="1793" t="s">
        <v>2240</v>
      </c>
      <c r="KU442" s="1793" t="s">
        <v>2241</v>
      </c>
      <c r="KV442" s="1793" t="s">
        <v>2242</v>
      </c>
      <c r="KW442" s="1793" t="s">
        <v>456</v>
      </c>
      <c r="KX442" s="1793" t="s">
        <v>2239</v>
      </c>
      <c r="KY442" s="1793" t="s">
        <v>2240</v>
      </c>
      <c r="KZ442" s="1793" t="s">
        <v>2241</v>
      </c>
      <c r="LA442" s="1793" t="s">
        <v>2242</v>
      </c>
      <c r="LB442" s="1793" t="s">
        <v>456</v>
      </c>
      <c r="LC442" s="1793" t="s">
        <v>2239</v>
      </c>
      <c r="LD442" s="1793" t="s">
        <v>2240</v>
      </c>
      <c r="LE442" s="1793" t="s">
        <v>2241</v>
      </c>
      <c r="LF442" s="1793"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6"/>
      <c r="D443" s="2516"/>
      <c r="E443" s="2516"/>
      <c r="F443" s="2516"/>
      <c r="G443" s="2516"/>
      <c r="H443" s="2516"/>
      <c r="I443" s="2516"/>
      <c r="J443" s="2516"/>
      <c r="P443" s="2648"/>
      <c r="Q443" s="2649" t="s">
        <v>5076</v>
      </c>
      <c r="R443" s="2650"/>
      <c r="X443" s="359" t="s">
        <v>3563</v>
      </c>
      <c r="Y443" s="359" t="s">
        <v>3564</v>
      </c>
      <c r="Z443" s="359" t="s">
        <v>3565</v>
      </c>
      <c r="AA443" s="359" t="s">
        <v>3566</v>
      </c>
      <c r="AB443" s="359" t="s">
        <v>3567</v>
      </c>
      <c r="AC443" s="359" t="s">
        <v>3568</v>
      </c>
      <c r="AD443" s="359" t="s">
        <v>3569</v>
      </c>
      <c r="AE443" s="359" t="s">
        <v>3570</v>
      </c>
      <c r="AF443" s="359" t="s">
        <v>3571</v>
      </c>
      <c r="AG443" s="359" t="s">
        <v>3572</v>
      </c>
      <c r="AH443" s="359" t="s">
        <v>860</v>
      </c>
      <c r="AI443" s="359" t="s">
        <v>704</v>
      </c>
      <c r="AJ443" s="359" t="s">
        <v>705</v>
      </c>
      <c r="AK443" s="359" t="s">
        <v>706</v>
      </c>
      <c r="AL443" s="359" t="s">
        <v>707</v>
      </c>
      <c r="AM443" s="359" t="s">
        <v>861</v>
      </c>
      <c r="AN443" s="359" t="s">
        <v>2125</v>
      </c>
      <c r="AO443" s="359" t="s">
        <v>2126</v>
      </c>
      <c r="AP443" s="359" t="s">
        <v>2127</v>
      </c>
      <c r="AQ443" s="359" t="s">
        <v>2128</v>
      </c>
      <c r="AR443" s="359" t="s">
        <v>3574</v>
      </c>
      <c r="AS443" s="359" t="s">
        <v>3575</v>
      </c>
      <c r="AT443" s="359" t="s">
        <v>3576</v>
      </c>
      <c r="AU443" s="359" t="s">
        <v>3577</v>
      </c>
      <c r="AV443" s="359" t="s">
        <v>3573</v>
      </c>
      <c r="AW443" s="359" t="s">
        <v>862</v>
      </c>
      <c r="AX443" s="359" t="s">
        <v>2129</v>
      </c>
      <c r="AY443" s="359" t="s">
        <v>2130</v>
      </c>
      <c r="AZ443" s="359" t="s">
        <v>2131</v>
      </c>
      <c r="BA443" s="359" t="s">
        <v>2132</v>
      </c>
      <c r="BB443" s="359" t="s">
        <v>3578</v>
      </c>
      <c r="BC443" s="359" t="s">
        <v>3579</v>
      </c>
      <c r="BD443" s="359" t="s">
        <v>3580</v>
      </c>
      <c r="BE443" s="359" t="s">
        <v>3581</v>
      </c>
      <c r="BF443" s="359" t="s">
        <v>3582</v>
      </c>
      <c r="BG443" s="359" t="s">
        <v>123</v>
      </c>
      <c r="BH443" s="359" t="s">
        <v>2133</v>
      </c>
      <c r="BI443" s="359" t="s">
        <v>2134</v>
      </c>
      <c r="BJ443" s="359" t="s">
        <v>2135</v>
      </c>
      <c r="BK443" s="359" t="s">
        <v>1079</v>
      </c>
      <c r="BL443" s="359" t="s">
        <v>3583</v>
      </c>
      <c r="BM443" s="359" t="s">
        <v>3584</v>
      </c>
      <c r="BN443" s="359" t="s">
        <v>3585</v>
      </c>
      <c r="BO443" s="359" t="s">
        <v>3586</v>
      </c>
      <c r="BP443" s="359" t="s">
        <v>3587</v>
      </c>
      <c r="BQ443" s="359" t="s">
        <v>516</v>
      </c>
      <c r="BR443" s="359" t="s">
        <v>517</v>
      </c>
      <c r="BS443" s="359" t="s">
        <v>534</v>
      </c>
      <c r="BT443" s="359" t="s">
        <v>535</v>
      </c>
      <c r="BU443" s="359" t="s">
        <v>536</v>
      </c>
      <c r="BV443" s="359" t="s">
        <v>3588</v>
      </c>
      <c r="BW443" s="359" t="s">
        <v>3589</v>
      </c>
      <c r="BX443" s="359" t="s">
        <v>3590</v>
      </c>
      <c r="BY443" s="359" t="s">
        <v>3591</v>
      </c>
      <c r="BZ443" s="359" t="s">
        <v>3592</v>
      </c>
      <c r="CA443" s="359" t="s">
        <v>537</v>
      </c>
      <c r="CB443" s="359" t="s">
        <v>538</v>
      </c>
      <c r="CC443" s="359" t="s">
        <v>539</v>
      </c>
      <c r="CD443" s="359" t="s">
        <v>540</v>
      </c>
      <c r="CE443" s="359" t="s">
        <v>541</v>
      </c>
      <c r="CF443" s="359" t="s">
        <v>542</v>
      </c>
      <c r="CG443" s="359" t="s">
        <v>543</v>
      </c>
      <c r="CH443" s="359" t="s">
        <v>871</v>
      </c>
      <c r="CI443" s="359" t="s">
        <v>872</v>
      </c>
      <c r="CJ443" s="359" t="s">
        <v>873</v>
      </c>
      <c r="CK443" s="359" t="s">
        <v>3598</v>
      </c>
      <c r="CL443" s="359" t="s">
        <v>3599</v>
      </c>
      <c r="CM443" s="359" t="s">
        <v>3600</v>
      </c>
      <c r="CN443" s="359" t="s">
        <v>3601</v>
      </c>
      <c r="CO443" s="359" t="s">
        <v>3602</v>
      </c>
      <c r="CP443" s="359" t="s">
        <v>3593</v>
      </c>
      <c r="CQ443" s="359" t="s">
        <v>3594</v>
      </c>
      <c r="CR443" s="359" t="s">
        <v>3595</v>
      </c>
      <c r="CS443" s="359" t="s">
        <v>3596</v>
      </c>
      <c r="CT443" s="359" t="s">
        <v>3597</v>
      </c>
      <c r="CU443" s="359" t="s">
        <v>3603</v>
      </c>
      <c r="CV443" s="359" t="s">
        <v>3604</v>
      </c>
      <c r="CW443" s="359" t="s">
        <v>3605</v>
      </c>
      <c r="CX443" s="359" t="s">
        <v>3606</v>
      </c>
      <c r="CY443" s="359" t="s">
        <v>3607</v>
      </c>
      <c r="CZ443" s="359" t="s">
        <v>465</v>
      </c>
      <c r="DA443" s="359" t="s">
        <v>466</v>
      </c>
      <c r="DB443" s="359" t="s">
        <v>467</v>
      </c>
      <c r="DC443" s="359" t="s">
        <v>468</v>
      </c>
      <c r="DD443" s="359" t="s">
        <v>469</v>
      </c>
      <c r="DE443" s="359" t="s">
        <v>3608</v>
      </c>
      <c r="DF443" s="359" t="s">
        <v>3609</v>
      </c>
      <c r="DG443" s="359" t="s">
        <v>3610</v>
      </c>
      <c r="DH443" s="359" t="s">
        <v>3611</v>
      </c>
      <c r="DI443" s="359" t="s">
        <v>3612</v>
      </c>
      <c r="DJ443" s="359" t="s">
        <v>821</v>
      </c>
      <c r="DK443" s="359" t="s">
        <v>822</v>
      </c>
      <c r="DL443" s="359" t="s">
        <v>823</v>
      </c>
      <c r="DM443" s="359" t="s">
        <v>824</v>
      </c>
      <c r="DN443" s="359" t="s">
        <v>825</v>
      </c>
      <c r="DO443" s="359" t="s">
        <v>826</v>
      </c>
      <c r="DP443" s="359" t="s">
        <v>827</v>
      </c>
      <c r="DQ443" s="359" t="s">
        <v>828</v>
      </c>
      <c r="DR443" s="359" t="s">
        <v>829</v>
      </c>
      <c r="DS443" s="359" t="s">
        <v>830</v>
      </c>
      <c r="DT443" s="359" t="s">
        <v>3613</v>
      </c>
      <c r="DU443" s="359" t="s">
        <v>3614</v>
      </c>
      <c r="DV443" s="359" t="s">
        <v>3615</v>
      </c>
      <c r="DW443" s="359" t="s">
        <v>3616</v>
      </c>
      <c r="DX443" s="359" t="s">
        <v>3617</v>
      </c>
      <c r="DY443" s="359" t="s">
        <v>3618</v>
      </c>
      <c r="DZ443" s="359" t="s">
        <v>3619</v>
      </c>
      <c r="EA443" s="359" t="s">
        <v>3620</v>
      </c>
      <c r="EB443" s="359" t="s">
        <v>3621</v>
      </c>
      <c r="EC443" s="359" t="s">
        <v>3622</v>
      </c>
      <c r="ED443" s="359" t="s">
        <v>2229</v>
      </c>
      <c r="EE443" s="359" t="s">
        <v>2230</v>
      </c>
      <c r="EF443" s="359" t="s">
        <v>2231</v>
      </c>
      <c r="EG443" s="359" t="s">
        <v>2232</v>
      </c>
      <c r="EH443" s="359" t="s">
        <v>2233</v>
      </c>
      <c r="EI443" s="359" t="s">
        <v>3623</v>
      </c>
      <c r="EJ443" s="359" t="s">
        <v>3624</v>
      </c>
      <c r="EK443" s="359" t="s">
        <v>3625</v>
      </c>
      <c r="EL443" s="359" t="s">
        <v>3626</v>
      </c>
      <c r="EM443" s="359" t="s">
        <v>3627</v>
      </c>
      <c r="EN443" s="359" t="s">
        <v>3628</v>
      </c>
      <c r="EO443" s="359" t="s">
        <v>3629</v>
      </c>
      <c r="EP443" s="359" t="s">
        <v>3630</v>
      </c>
      <c r="EQ443" s="359" t="s">
        <v>3631</v>
      </c>
      <c r="ER443" s="359" t="s">
        <v>3632</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3633</v>
      </c>
      <c r="FD443" s="359" t="s">
        <v>3634</v>
      </c>
      <c r="FE443" s="359" t="s">
        <v>3635</v>
      </c>
      <c r="FF443" s="359" t="s">
        <v>3636</v>
      </c>
      <c r="FG443" s="359" t="s">
        <v>3637</v>
      </c>
      <c r="FH443" s="359" t="s">
        <v>125</v>
      </c>
      <c r="FI443" s="359" t="s">
        <v>852</v>
      </c>
      <c r="FJ443" s="359" t="s">
        <v>853</v>
      </c>
      <c r="FK443" s="359" t="s">
        <v>854</v>
      </c>
      <c r="FL443" s="359" t="s">
        <v>855</v>
      </c>
      <c r="FM443" s="359" t="s">
        <v>3638</v>
      </c>
      <c r="FN443" s="359" t="s">
        <v>3639</v>
      </c>
      <c r="FO443" s="359" t="s">
        <v>3640</v>
      </c>
      <c r="FP443" s="359" t="s">
        <v>3641</v>
      </c>
      <c r="FQ443" s="359" t="s">
        <v>3642</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4"/>
      <c r="IA443" s="1804"/>
      <c r="IB443" s="1804"/>
      <c r="IC443" s="1804"/>
      <c r="ID443" s="1804"/>
      <c r="IE443" s="1804"/>
      <c r="IF443" s="1804"/>
      <c r="IG443" s="1804"/>
      <c r="IH443" s="1804"/>
      <c r="II443" s="1804"/>
      <c r="IJ443" s="1804"/>
      <c r="IK443" s="1804"/>
      <c r="IL443" s="1804"/>
      <c r="IM443" s="1804"/>
      <c r="IN443" s="1804"/>
      <c r="IO443" s="1804"/>
      <c r="IP443" s="1804"/>
      <c r="IQ443" s="1804"/>
      <c r="IR443" s="1804"/>
      <c r="IS443" s="1804"/>
      <c r="IT443" s="1804"/>
      <c r="IU443" s="1804"/>
      <c r="IV443" s="1804"/>
      <c r="IW443" s="1804"/>
      <c r="IX443" s="1804"/>
      <c r="IY443" s="1804"/>
      <c r="IZ443" s="1804"/>
      <c r="JA443" s="1804"/>
      <c r="JB443" s="1804"/>
      <c r="JC443" s="1804"/>
      <c r="JD443" s="1804"/>
      <c r="JE443" s="1804"/>
      <c r="JF443" s="1804"/>
      <c r="JG443" s="1804"/>
      <c r="JH443" s="1804"/>
      <c r="JI443" s="1804"/>
      <c r="JJ443" s="1804"/>
      <c r="JK443" s="1804"/>
      <c r="JL443" s="1804"/>
      <c r="JM443" s="1804"/>
      <c r="JN443" s="1804"/>
      <c r="JO443" s="1804"/>
      <c r="JP443" s="1804"/>
      <c r="JQ443" s="1804"/>
      <c r="JR443" s="1804"/>
      <c r="JS443" s="1804"/>
      <c r="JT443" s="1804"/>
      <c r="JU443" s="1804"/>
      <c r="JV443" s="1804"/>
      <c r="JW443" s="1804"/>
      <c r="JX443" s="1804"/>
      <c r="JY443" s="1804"/>
      <c r="JZ443" s="1804"/>
      <c r="KA443" s="1804"/>
      <c r="KB443" s="1804"/>
      <c r="KC443" s="1804"/>
      <c r="KD443" s="1804"/>
      <c r="KE443" s="1804"/>
      <c r="KF443" s="1804"/>
      <c r="KG443" s="1804"/>
      <c r="KH443" s="1804"/>
      <c r="KI443" s="1804"/>
      <c r="KJ443" s="1804"/>
      <c r="KK443" s="1804"/>
      <c r="KL443" s="1804"/>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1" t="str">
        <f>IF(A487&gt;0,"Finish Row!","")</f>
        <v/>
      </c>
      <c r="B444" s="1545" t="s">
        <v>5077</v>
      </c>
      <c r="D444" s="2516"/>
      <c r="E444" s="2516"/>
      <c r="F444" s="2516"/>
      <c r="G444" s="1803" t="str">
        <f>'Part V-Revenues &amp; Expenses'!G6</f>
        <v>&lt;Select&gt;</v>
      </c>
      <c r="H444" s="2652" t="s">
        <v>3999</v>
      </c>
      <c r="I444" s="2652"/>
      <c r="J444" s="2652"/>
      <c r="K444" s="2653" t="s">
        <v>3051</v>
      </c>
      <c r="L444" s="2654" t="str">
        <f>'Part I-Project Identification'!$A$6</f>
        <v>2024 May 7</v>
      </c>
      <c r="M444" s="2654"/>
      <c r="N444" s="2654"/>
      <c r="O444" s="2655" t="s">
        <v>5078</v>
      </c>
      <c r="P444" s="2656">
        <f>'Part V-Revenues &amp; Expenses'!P6</f>
        <v>106600</v>
      </c>
      <c r="Q444" s="2649"/>
      <c r="R444" s="2650"/>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4"/>
      <c r="IA444" s="1804"/>
      <c r="IB444" s="1804"/>
      <c r="IC444" s="1804"/>
      <c r="ID444" s="1804"/>
      <c r="IE444" s="1804"/>
      <c r="IF444" s="1804"/>
      <c r="IG444" s="1804"/>
      <c r="IH444" s="1804"/>
      <c r="II444" s="1804"/>
      <c r="IJ444" s="1804"/>
      <c r="IK444" s="1804"/>
      <c r="IL444" s="1804"/>
      <c r="IM444" s="1804"/>
      <c r="IN444" s="1804"/>
      <c r="IO444" s="1804"/>
      <c r="IP444" s="1804"/>
      <c r="IQ444" s="1804"/>
      <c r="IR444" s="1804"/>
      <c r="IS444" s="1804"/>
      <c r="IT444" s="1804"/>
      <c r="IU444" s="1804"/>
      <c r="IV444" s="1804"/>
      <c r="IW444" s="1804"/>
      <c r="IX444" s="1804"/>
      <c r="IY444" s="1804"/>
      <c r="IZ444" s="1804"/>
      <c r="JA444" s="1804"/>
      <c r="JB444" s="1804"/>
      <c r="JC444" s="1804"/>
      <c r="JD444" s="1804"/>
      <c r="JE444" s="1804"/>
      <c r="JF444" s="1804"/>
      <c r="JG444" s="1804"/>
      <c r="JH444" s="1804"/>
      <c r="JI444" s="1804"/>
      <c r="JJ444" s="1804"/>
      <c r="JK444" s="1804"/>
      <c r="JL444" s="1804"/>
      <c r="JM444" s="1804"/>
      <c r="JN444" s="1804"/>
      <c r="JO444" s="1804"/>
      <c r="JP444" s="1804"/>
      <c r="JQ444" s="1804"/>
      <c r="JR444" s="1804"/>
      <c r="JS444" s="1804"/>
      <c r="JT444" s="1804"/>
      <c r="JU444" s="1804"/>
      <c r="JV444" s="1804"/>
      <c r="JW444" s="1804"/>
      <c r="JX444" s="1804"/>
      <c r="JY444" s="1804"/>
      <c r="JZ444" s="1804"/>
      <c r="KA444" s="1804"/>
      <c r="KB444" s="1804"/>
      <c r="KC444" s="1804"/>
      <c r="KD444" s="1804"/>
      <c r="KE444" s="1804"/>
      <c r="KF444" s="1804"/>
      <c r="KG444" s="1804"/>
      <c r="KH444" s="1804"/>
      <c r="KI444" s="1804"/>
      <c r="KJ444" s="1804"/>
      <c r="KK444" s="1804"/>
      <c r="KL444" s="1804"/>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4179</v>
      </c>
      <c r="MQ444" s="359" t="s">
        <v>4180</v>
      </c>
      <c r="MR444" s="359" t="s">
        <v>4181</v>
      </c>
      <c r="MS444" s="359" t="s">
        <v>4182</v>
      </c>
      <c r="MT444" s="359" t="s">
        <v>4183</v>
      </c>
    </row>
    <row r="445" spans="1:358" s="358" customFormat="1" ht="12.6" customHeight="1">
      <c r="A445" s="2651"/>
      <c r="B445" s="2657" t="s">
        <v>3998</v>
      </c>
      <c r="E445" s="1656"/>
      <c r="G445" s="1803" t="str">
        <f>'Part V-Revenues &amp; Expenses'!G7</f>
        <v>No</v>
      </c>
      <c r="I445" s="1545" t="s">
        <v>3941</v>
      </c>
      <c r="J445" s="2653" t="s">
        <v>741</v>
      </c>
      <c r="K445" s="2653" t="s">
        <v>3098</v>
      </c>
      <c r="L445" s="2654"/>
      <c r="M445" s="2654"/>
      <c r="N445" s="2654"/>
      <c r="O445" s="2658" t="s">
        <v>3978</v>
      </c>
      <c r="P445" s="2659" t="str">
        <f>'Part V-Revenues &amp; Expenses'!P7</f>
        <v>04/01/2024</v>
      </c>
      <c r="Q445" s="2649"/>
      <c r="R445" s="1656" t="s">
        <v>2450</v>
      </c>
      <c r="S445" s="1656"/>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4"/>
      <c r="IA445" s="1804"/>
      <c r="IB445" s="1804"/>
      <c r="IC445" s="1804"/>
      <c r="ID445" s="1804"/>
      <c r="IE445" s="1804"/>
      <c r="IF445" s="1804"/>
      <c r="IG445" s="1804"/>
      <c r="IH445" s="1804"/>
      <c r="II445" s="1804"/>
      <c r="IJ445" s="1804"/>
      <c r="IK445" s="1804"/>
      <c r="IL445" s="1804"/>
      <c r="IM445" s="1804"/>
      <c r="IN445" s="1804"/>
      <c r="IO445" s="1804"/>
      <c r="IP445" s="1804"/>
      <c r="IQ445" s="1804"/>
      <c r="IR445" s="1804"/>
      <c r="IS445" s="1804"/>
      <c r="IT445" s="1804"/>
      <c r="IU445" s="1804"/>
      <c r="IV445" s="1804"/>
      <c r="IW445" s="1804"/>
      <c r="IX445" s="1804"/>
      <c r="IY445" s="1804"/>
      <c r="IZ445" s="1804"/>
      <c r="JA445" s="1804"/>
      <c r="JB445" s="1804"/>
      <c r="JC445" s="1804"/>
      <c r="JD445" s="1804"/>
      <c r="JE445" s="1804"/>
      <c r="JF445" s="1804"/>
      <c r="JG445" s="1804"/>
      <c r="JH445" s="1804"/>
      <c r="JI445" s="1804"/>
      <c r="JJ445" s="1804"/>
      <c r="JK445" s="1804"/>
      <c r="JL445" s="1804"/>
      <c r="JM445" s="1804"/>
      <c r="JN445" s="1804"/>
      <c r="JO445" s="1804"/>
      <c r="JP445" s="1804"/>
      <c r="JQ445" s="1804"/>
      <c r="JR445" s="1804"/>
      <c r="JS445" s="1804"/>
      <c r="JT445" s="1804"/>
      <c r="JU445" s="1804"/>
      <c r="JV445" s="1804"/>
      <c r="JW445" s="1804"/>
      <c r="JX445" s="1804"/>
      <c r="JY445" s="1804"/>
      <c r="JZ445" s="1804"/>
      <c r="KA445" s="1804"/>
      <c r="KB445" s="1804"/>
      <c r="KC445" s="1804"/>
      <c r="KD445" s="1804"/>
      <c r="KE445" s="1804"/>
      <c r="KF445" s="1804"/>
      <c r="KG445" s="1804"/>
      <c r="KH445" s="1804"/>
      <c r="KI445" s="1804"/>
      <c r="KJ445" s="1804"/>
      <c r="KK445" s="1804"/>
      <c r="KL445" s="1804"/>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1"/>
      <c r="B446" s="2653" t="s">
        <v>3645</v>
      </c>
      <c r="I446" s="1545"/>
      <c r="J446" s="2653" t="s">
        <v>742</v>
      </c>
      <c r="K446" s="2653" t="s">
        <v>3099</v>
      </c>
      <c r="N446" s="2660" t="s">
        <v>4378</v>
      </c>
      <c r="O446" s="2505" t="str">
        <f>'Part V-Revenues &amp; Expenses'!O8</f>
        <v>HUD</v>
      </c>
      <c r="P446" s="2505"/>
      <c r="Q446" s="2649"/>
      <c r="R446" s="1656"/>
      <c r="S446" s="2645"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4"/>
      <c r="IA446" s="1804"/>
      <c r="IB446" s="1804"/>
      <c r="IC446" s="1804"/>
      <c r="ID446" s="1804"/>
      <c r="IE446" s="1804"/>
      <c r="IF446" s="1804"/>
      <c r="IG446" s="1804"/>
      <c r="IH446" s="1804"/>
      <c r="II446" s="1804"/>
      <c r="IJ446" s="1804"/>
      <c r="IK446" s="1804"/>
      <c r="IL446" s="1804"/>
      <c r="IM446" s="1804"/>
      <c r="IN446" s="1804"/>
      <c r="IO446" s="1804"/>
      <c r="IP446" s="1804"/>
      <c r="IQ446" s="1804"/>
      <c r="IR446" s="1804"/>
      <c r="IS446" s="1804"/>
      <c r="IT446" s="1804"/>
      <c r="IU446" s="1804"/>
      <c r="IV446" s="1804"/>
      <c r="IW446" s="1804"/>
      <c r="IX446" s="1804"/>
      <c r="IY446" s="1793" t="s">
        <v>525</v>
      </c>
      <c r="IZ446" s="1793" t="s">
        <v>2239</v>
      </c>
      <c r="JA446" s="1793" t="s">
        <v>2240</v>
      </c>
      <c r="JB446" s="1793" t="s">
        <v>2241</v>
      </c>
      <c r="JC446" s="1793" t="s">
        <v>2242</v>
      </c>
      <c r="JD446" s="1793" t="s">
        <v>525</v>
      </c>
      <c r="JE446" s="1793" t="s">
        <v>2239</v>
      </c>
      <c r="JF446" s="1793" t="s">
        <v>2240</v>
      </c>
      <c r="JG446" s="1793" t="s">
        <v>2241</v>
      </c>
      <c r="JH446" s="1793" t="s">
        <v>2242</v>
      </c>
      <c r="JI446" s="1793" t="s">
        <v>525</v>
      </c>
      <c r="JJ446" s="1793" t="s">
        <v>2239</v>
      </c>
      <c r="JK446" s="1793" t="s">
        <v>2240</v>
      </c>
      <c r="JL446" s="1793" t="s">
        <v>2241</v>
      </c>
      <c r="JM446" s="1793" t="s">
        <v>2242</v>
      </c>
      <c r="JN446" s="1793" t="s">
        <v>525</v>
      </c>
      <c r="JO446" s="1793" t="s">
        <v>2239</v>
      </c>
      <c r="JP446" s="1793" t="s">
        <v>2240</v>
      </c>
      <c r="JQ446" s="1793" t="s">
        <v>2241</v>
      </c>
      <c r="JR446" s="1793" t="s">
        <v>2242</v>
      </c>
      <c r="JS446" s="1793" t="s">
        <v>525</v>
      </c>
      <c r="JT446" s="1793" t="s">
        <v>2239</v>
      </c>
      <c r="JU446" s="1793" t="s">
        <v>2240</v>
      </c>
      <c r="JV446" s="1793" t="s">
        <v>2241</v>
      </c>
      <c r="JW446" s="1793" t="s">
        <v>2242</v>
      </c>
      <c r="JX446" s="1793" t="s">
        <v>525</v>
      </c>
      <c r="JY446" s="1793" t="s">
        <v>2239</v>
      </c>
      <c r="JZ446" s="1793" t="s">
        <v>2240</v>
      </c>
      <c r="KA446" s="1793" t="s">
        <v>2241</v>
      </c>
      <c r="KB446" s="1793" t="s">
        <v>2242</v>
      </c>
      <c r="KC446" s="1793" t="s">
        <v>525</v>
      </c>
      <c r="KD446" s="1793" t="s">
        <v>2239</v>
      </c>
      <c r="KE446" s="1793" t="s">
        <v>2240</v>
      </c>
      <c r="KF446" s="1793" t="s">
        <v>2241</v>
      </c>
      <c r="KG446" s="1793" t="s">
        <v>2242</v>
      </c>
      <c r="KH446" s="1793" t="s">
        <v>525</v>
      </c>
      <c r="KI446" s="1793" t="s">
        <v>2239</v>
      </c>
      <c r="KJ446" s="1793" t="s">
        <v>2240</v>
      </c>
      <c r="KK446" s="1793" t="s">
        <v>2241</v>
      </c>
      <c r="KL446" s="1793" t="s">
        <v>2242</v>
      </c>
      <c r="KM446" s="1793" t="s">
        <v>525</v>
      </c>
      <c r="KN446" s="1793" t="s">
        <v>2239</v>
      </c>
      <c r="KO446" s="1793" t="s">
        <v>2240</v>
      </c>
      <c r="KP446" s="1793" t="s">
        <v>2241</v>
      </c>
      <c r="KQ446" s="1793" t="s">
        <v>2242</v>
      </c>
      <c r="KR446" s="1793" t="s">
        <v>525</v>
      </c>
      <c r="KS446" s="1793" t="s">
        <v>2239</v>
      </c>
      <c r="KT446" s="1793" t="s">
        <v>2240</v>
      </c>
      <c r="KU446" s="1793" t="s">
        <v>2241</v>
      </c>
      <c r="KV446" s="1793" t="s">
        <v>2242</v>
      </c>
      <c r="KW446" s="1793" t="s">
        <v>525</v>
      </c>
      <c r="KX446" s="1793" t="s">
        <v>2239</v>
      </c>
      <c r="KY446" s="1793" t="s">
        <v>2240</v>
      </c>
      <c r="KZ446" s="1793" t="s">
        <v>2241</v>
      </c>
      <c r="LA446" s="1793" t="s">
        <v>2242</v>
      </c>
      <c r="LB446" s="1793" t="s">
        <v>525</v>
      </c>
      <c r="LC446" s="1793" t="s">
        <v>2239</v>
      </c>
      <c r="LD446" s="1793" t="s">
        <v>2240</v>
      </c>
      <c r="LE446" s="1793" t="s">
        <v>2241</v>
      </c>
      <c r="LF446" s="1793"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1"/>
      <c r="B447" s="2653" t="s">
        <v>3646</v>
      </c>
      <c r="C447" s="2653" t="s">
        <v>165</v>
      </c>
      <c r="D447" s="2653" t="s">
        <v>509</v>
      </c>
      <c r="E447" s="2653" t="s">
        <v>1380</v>
      </c>
      <c r="F447" s="2653" t="s">
        <v>1380</v>
      </c>
      <c r="G447" s="1545" t="s">
        <v>3994</v>
      </c>
      <c r="H447" s="2650" t="s">
        <v>3219</v>
      </c>
      <c r="I447" s="1545"/>
      <c r="J447" s="2661" t="s">
        <v>3988</v>
      </c>
      <c r="K447" s="2653" t="s">
        <v>5079</v>
      </c>
      <c r="L447" s="1545" t="s">
        <v>139</v>
      </c>
      <c r="M447" s="1545"/>
      <c r="N447" s="2653" t="s">
        <v>2178</v>
      </c>
      <c r="O447" s="2653" t="s">
        <v>4381</v>
      </c>
      <c r="P447" s="2649" t="s">
        <v>5080</v>
      </c>
      <c r="Q447" s="2649"/>
      <c r="R447" s="2653" t="s">
        <v>2446</v>
      </c>
      <c r="S447" s="2653" t="s">
        <v>2448</v>
      </c>
      <c r="T447" s="2653"/>
      <c r="HZ447" s="359" t="s">
        <v>1369</v>
      </c>
      <c r="IA447" s="1793" t="s">
        <v>2239</v>
      </c>
      <c r="IB447" s="1793" t="s">
        <v>2240</v>
      </c>
      <c r="IC447" s="1793" t="s">
        <v>2241</v>
      </c>
      <c r="ID447" s="1793"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3" t="s">
        <v>525</v>
      </c>
      <c r="IP447" s="1793" t="s">
        <v>2239</v>
      </c>
      <c r="IQ447" s="1793" t="s">
        <v>2240</v>
      </c>
      <c r="IR447" s="1793" t="s">
        <v>2241</v>
      </c>
      <c r="IS447" s="1793" t="s">
        <v>2242</v>
      </c>
      <c r="IT447" s="1793" t="s">
        <v>525</v>
      </c>
      <c r="IU447" s="1793" t="s">
        <v>2239</v>
      </c>
      <c r="IV447" s="1793" t="s">
        <v>2240</v>
      </c>
      <c r="IW447" s="1793" t="s">
        <v>2241</v>
      </c>
      <c r="IX447" s="1793" t="s">
        <v>2242</v>
      </c>
      <c r="IY447" s="359" t="s">
        <v>4184</v>
      </c>
      <c r="IZ447" s="359" t="s">
        <v>4184</v>
      </c>
      <c r="JA447" s="359" t="s">
        <v>4184</v>
      </c>
      <c r="JB447" s="359" t="s">
        <v>4184</v>
      </c>
      <c r="JC447" s="359" t="s">
        <v>4184</v>
      </c>
      <c r="JD447" s="359" t="s">
        <v>4185</v>
      </c>
      <c r="JE447" s="359" t="s">
        <v>4185</v>
      </c>
      <c r="JF447" s="359" t="s">
        <v>4185</v>
      </c>
      <c r="JG447" s="359" t="s">
        <v>4185</v>
      </c>
      <c r="JH447" s="359" t="s">
        <v>4185</v>
      </c>
      <c r="JI447" s="359" t="s">
        <v>4187</v>
      </c>
      <c r="JJ447" s="359" t="s">
        <v>4187</v>
      </c>
      <c r="JK447" s="359" t="s">
        <v>4187</v>
      </c>
      <c r="JL447" s="359" t="s">
        <v>4187</v>
      </c>
      <c r="JM447" s="359" t="s">
        <v>4187</v>
      </c>
      <c r="JN447" s="359" t="s">
        <v>4188</v>
      </c>
      <c r="JO447" s="359" t="s">
        <v>4188</v>
      </c>
      <c r="JP447" s="359" t="s">
        <v>4188</v>
      </c>
      <c r="JQ447" s="359" t="s">
        <v>4188</v>
      </c>
      <c r="JR447" s="359" t="s">
        <v>4188</v>
      </c>
      <c r="JS447" s="359" t="s">
        <v>4189</v>
      </c>
      <c r="JT447" s="359" t="s">
        <v>4189</v>
      </c>
      <c r="JU447" s="359" t="s">
        <v>4189</v>
      </c>
      <c r="JV447" s="359" t="s">
        <v>4189</v>
      </c>
      <c r="JW447" s="359" t="s">
        <v>4189</v>
      </c>
      <c r="JX447" s="359" t="s">
        <v>4382</v>
      </c>
      <c r="JY447" s="359" t="s">
        <v>4382</v>
      </c>
      <c r="JZ447" s="359" t="s">
        <v>4382</v>
      </c>
      <c r="KA447" s="359" t="s">
        <v>4382</v>
      </c>
      <c r="KB447" s="359" t="s">
        <v>4382</v>
      </c>
      <c r="KC447" s="359" t="s">
        <v>5081</v>
      </c>
      <c r="KD447" s="359" t="s">
        <v>5081</v>
      </c>
      <c r="KE447" s="359" t="s">
        <v>5081</v>
      </c>
      <c r="KF447" s="359" t="s">
        <v>5081</v>
      </c>
      <c r="KG447" s="359" t="s">
        <v>5081</v>
      </c>
      <c r="KH447" s="359" t="s">
        <v>4545</v>
      </c>
      <c r="KI447" s="359" t="s">
        <v>4545</v>
      </c>
      <c r="KJ447" s="359" t="s">
        <v>4545</v>
      </c>
      <c r="KK447" s="359" t="s">
        <v>4545</v>
      </c>
      <c r="KL447" s="359" t="s">
        <v>4545</v>
      </c>
      <c r="KM447" s="359" t="s">
        <v>4191</v>
      </c>
      <c r="KN447" s="359" t="s">
        <v>4191</v>
      </c>
      <c r="KO447" s="359" t="s">
        <v>4191</v>
      </c>
      <c r="KP447" s="359" t="s">
        <v>4191</v>
      </c>
      <c r="KQ447" s="359" t="s">
        <v>4191</v>
      </c>
      <c r="KR447" s="359" t="s">
        <v>4383</v>
      </c>
      <c r="KS447" s="359" t="s">
        <v>4383</v>
      </c>
      <c r="KT447" s="359" t="s">
        <v>4383</v>
      </c>
      <c r="KU447" s="359" t="s">
        <v>4383</v>
      </c>
      <c r="KV447" s="359" t="s">
        <v>4383</v>
      </c>
      <c r="KW447" s="359" t="s">
        <v>4546</v>
      </c>
      <c r="KX447" s="359" t="s">
        <v>4546</v>
      </c>
      <c r="KY447" s="359" t="s">
        <v>4546</v>
      </c>
      <c r="KZ447" s="359" t="s">
        <v>4546</v>
      </c>
      <c r="LA447" s="359" t="s">
        <v>4546</v>
      </c>
      <c r="LB447" s="359" t="s">
        <v>4547</v>
      </c>
      <c r="LC447" s="359" t="s">
        <v>4547</v>
      </c>
      <c r="LD447" s="359" t="s">
        <v>4547</v>
      </c>
      <c r="LE447" s="359" t="s">
        <v>4547</v>
      </c>
      <c r="LF447" s="359" t="s">
        <v>4547</v>
      </c>
      <c r="MK447" s="1418"/>
      <c r="ML447" s="1418"/>
      <c r="MM447" s="1418"/>
      <c r="MN447" s="1418"/>
      <c r="MO447" s="1418"/>
    </row>
    <row r="448" spans="1:358" s="359" customFormat="1" ht="11.25" customHeight="1">
      <c r="A448" s="2651"/>
      <c r="B448" s="2662" t="s">
        <v>3808</v>
      </c>
      <c r="C448" s="2653" t="s">
        <v>164</v>
      </c>
      <c r="D448" s="2653" t="s">
        <v>166</v>
      </c>
      <c r="E448" s="2653" t="s">
        <v>1381</v>
      </c>
      <c r="F448" s="2653" t="s">
        <v>1201</v>
      </c>
      <c r="G448" s="1545"/>
      <c r="H448" s="2653" t="s">
        <v>3995</v>
      </c>
      <c r="I448" s="1545"/>
      <c r="J448" s="2661"/>
      <c r="K448" s="2663" t="s">
        <v>334</v>
      </c>
      <c r="L448" s="2653" t="s">
        <v>1430</v>
      </c>
      <c r="M448" s="2653" t="s">
        <v>503</v>
      </c>
      <c r="N448" s="2653" t="s">
        <v>1380</v>
      </c>
      <c r="O448" s="2653" t="s">
        <v>4395</v>
      </c>
      <c r="P448" s="2649"/>
      <c r="Q448" s="2649"/>
      <c r="R448" s="2653" t="s">
        <v>1382</v>
      </c>
      <c r="S448" s="2653" t="s">
        <v>2449</v>
      </c>
      <c r="T448" s="360" t="s">
        <v>1706</v>
      </c>
      <c r="W448" s="360"/>
      <c r="IA448" s="1793" t="s">
        <v>2292</v>
      </c>
      <c r="IB448" s="1793" t="s">
        <v>2292</v>
      </c>
      <c r="IC448" s="1793" t="s">
        <v>2292</v>
      </c>
      <c r="ID448" s="1793" t="s">
        <v>2292</v>
      </c>
      <c r="IO448" s="1793" t="s">
        <v>2294</v>
      </c>
      <c r="IP448" s="1793" t="s">
        <v>2294</v>
      </c>
      <c r="IQ448" s="1793" t="s">
        <v>2294</v>
      </c>
      <c r="IR448" s="1793" t="s">
        <v>2294</v>
      </c>
      <c r="IS448" s="1793" t="s">
        <v>2294</v>
      </c>
      <c r="IT448" s="1793" t="s">
        <v>2929</v>
      </c>
      <c r="IU448" s="1793" t="s">
        <v>2929</v>
      </c>
      <c r="IV448" s="1793" t="s">
        <v>2929</v>
      </c>
      <c r="IW448" s="1793" t="s">
        <v>2929</v>
      </c>
      <c r="IX448" s="1793" t="s">
        <v>2929</v>
      </c>
      <c r="MK448" s="1418"/>
      <c r="ML448" s="1418"/>
      <c r="MM448" s="1418"/>
      <c r="MN448" s="1418"/>
      <c r="MO448" s="1418"/>
    </row>
    <row r="449" spans="1:380" ht="13.9" customHeight="1">
      <c r="A449" s="2645" t="str">
        <f t="shared" ref="A449:A486" si="0">IF(AND(E449&gt;0,OR(B449="",C449="",D449="",F449="",G449="", H449="",I449="",N449="",O449="",P449="",Q449="")),1,"")</f>
        <v/>
      </c>
      <c r="B449" s="2664" t="str">
        <f>'Part V-Revenues &amp; Expenses'!B11</f>
        <v>N/A-CS</v>
      </c>
      <c r="C449" s="2665">
        <f>'Part V-Revenues &amp; Expenses'!C11</f>
        <v>0</v>
      </c>
      <c r="D449" s="2666">
        <f>'Part V-Revenues &amp; Expenses'!D11</f>
        <v>0</v>
      </c>
      <c r="E449" s="2667">
        <f>'Part V-Revenues &amp; Expenses'!E11</f>
        <v>0</v>
      </c>
      <c r="F449" s="2667">
        <f>'Part V-Revenues &amp; Expenses'!F11</f>
        <v>0</v>
      </c>
      <c r="G449" s="2667">
        <f>'Part V-Revenues &amp; Expenses'!G11</f>
        <v>0</v>
      </c>
      <c r="H449" s="2667">
        <f>'Part V-Revenues &amp; Expenses'!H11</f>
        <v>0</v>
      </c>
      <c r="I449" s="2667">
        <f>'Part V-Revenues &amp; Expenses'!I11</f>
        <v>0</v>
      </c>
      <c r="J449" s="2667">
        <f>'Part V-Revenues &amp; Expenses'!J11</f>
        <v>0</v>
      </c>
      <c r="K449" s="2668">
        <f>'Part V-Revenues &amp; Expenses'!K11</f>
        <v>0</v>
      </c>
      <c r="L449" s="2669">
        <f t="shared" ref="L449:L486" si="1">MAX(0,H449-I449-J449)</f>
        <v>0</v>
      </c>
      <c r="M449" s="2669">
        <f t="shared" ref="M449:M486" si="2">MAX(0,E449*L449)</f>
        <v>0</v>
      </c>
      <c r="N449" s="2538">
        <f>'Part V-Revenues &amp; Expenses'!N11</f>
        <v>0</v>
      </c>
      <c r="O449" s="1257">
        <f>'Part V-Revenues &amp; Expenses'!O11</f>
        <v>0</v>
      </c>
      <c r="P449" s="2538">
        <f>'Part V-Revenues &amp; Expenses'!P11</f>
        <v>0</v>
      </c>
      <c r="Q449" s="1804">
        <f>'Part V-Revenues &amp; Expenses'!Q11</f>
        <v>0</v>
      </c>
      <c r="R449" s="2670"/>
      <c r="S449" s="2671"/>
      <c r="T449" s="2672"/>
      <c r="U449" s="2672"/>
      <c r="V449" s="2672"/>
      <c r="W449" s="2672"/>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5" t="str">
        <f t="shared" ref="HZ449:HZ486" si="213">IF(AND($C449="Efficiency", NOT(OR($O449="SF Detached",$O449="Mfd Home",$O449="Semi-Detached",$O449="Row House/TH"))),$E449,"")</f>
        <v/>
      </c>
      <c r="IA449" s="1805" t="str">
        <f t="shared" ref="IA449:IA486" si="214">IF(AND($C449=1, NOT(OR($O449="SF Detached",$O449="Mfd Home",$O449="Semi-Detached",$O449="Row House/TH"))),$E449,"")</f>
        <v/>
      </c>
      <c r="IB449" s="1805" t="str">
        <f t="shared" ref="IB449:IB486" si="215">IF(AND($C449=2, NOT(OR($O449="SF Detached",$O449="Mfd Home",$O449="Semi-Detached",$O449="Row House/TH"))),$E449,"")</f>
        <v/>
      </c>
      <c r="IC449" s="1805" t="str">
        <f t="shared" ref="IC449:IC486" si="216">IF(AND($C449=3, NOT(OR($O449="SF Detached",$O449="Mfd Home",$O449="Semi-Detached",$O449="Row House/TH"))),$E449,"")</f>
        <v/>
      </c>
      <c r="ID449" s="1805" t="str">
        <f t="shared" ref="ID449:ID486" si="217">IF(AND($C449=4, NOT(OR($O449="SF Detached",$O449="Mfd Home",$O449="Semi-Detached",$O449="Row House/TH"))),$E449,"")</f>
        <v/>
      </c>
      <c r="IE449" s="1805" t="str">
        <f t="shared" ref="IE449:IE486" si="218">IF(AND($C449="Efficiency", $O449="SF Detached",NOT($Q449="Yes")),$E449,"")</f>
        <v/>
      </c>
      <c r="IF449" s="1805" t="str">
        <f t="shared" ref="IF449:IF486" si="219">IF(AND($C449=1, $O449="SF Detached",NOT($Q449="Yes")),$E449,"")</f>
        <v/>
      </c>
      <c r="IG449" s="1805" t="str">
        <f t="shared" ref="IG449:IG486" si="220">IF(AND($C449=2, $O449="SF Detached",NOT($Q449="Yes")),$E449,"")</f>
        <v/>
      </c>
      <c r="IH449" s="1805" t="str">
        <f t="shared" ref="IH449:IH486" si="221">IF(AND($C449=3, $O449="SF Detached",NOT($Q449="Yes")),$E449,"")</f>
        <v/>
      </c>
      <c r="II449" s="1805" t="str">
        <f t="shared" ref="II449:II486" si="222">IF(AND($C449=4, $O449="SF Detached",NOT($Q449="Yes")),$E449,"")</f>
        <v/>
      </c>
      <c r="IJ449" s="1805" t="str">
        <f t="shared" ref="IJ449:IJ486" si="223">IF(AND($C449="Efficiency", $O449="SF Detached",$Q449="Yes"),$E449,"")</f>
        <v/>
      </c>
      <c r="IK449" s="1805" t="str">
        <f t="shared" ref="IK449:IK486" si="224">IF(AND($C449=1, $O449="SF Detached",$Q449="Yes"),$E449,"")</f>
        <v/>
      </c>
      <c r="IL449" s="1805" t="str">
        <f t="shared" ref="IL449:IL486" si="225">IF(AND($C449=2, $O449="SF Detached",$Q449="Yes"),$E449,"")</f>
        <v/>
      </c>
      <c r="IM449" s="1805" t="str">
        <f t="shared" ref="IM449:IM486" si="226">IF(AND($C449=3, $O449="SF Detached",$Q449="Yes"),$E449,"")</f>
        <v/>
      </c>
      <c r="IN449" s="1805" t="str">
        <f t="shared" ref="IN449:IN486" si="227">IF(AND($C449=4, $O449="SF Detached",$Q449="Yes"),$E449,"")</f>
        <v/>
      </c>
      <c r="IO449" s="1805" t="str">
        <f t="shared" ref="IO449:IO486" si="228">IF(AND($C449="Efficiency", $O449="Mfd Home",NOT($Q449="Yes")),$E449,"")</f>
        <v/>
      </c>
      <c r="IP449" s="1805" t="str">
        <f t="shared" ref="IP449:IP486" si="229">IF(AND($C449=1, $O449="Mfd Home",NOT($Q449="Yes")),$E449,"")</f>
        <v/>
      </c>
      <c r="IQ449" s="1805" t="str">
        <f t="shared" ref="IQ449:IQ486" si="230">IF(AND($C449=2, $O449="Mfd Home",NOT($Q449="Yes")),$E449,"")</f>
        <v/>
      </c>
      <c r="IR449" s="1805" t="str">
        <f t="shared" ref="IR449:IR486" si="231">IF(AND($C449=3, $O449="Mfd Home",NOT($Q449="Yes")),$E449,"")</f>
        <v/>
      </c>
      <c r="IS449" s="1805" t="str">
        <f t="shared" ref="IS449:IS486" si="232">IF(AND($C449=4, $O449="Mfd Home",NOT($Q449="Yes")),$E449,"")</f>
        <v/>
      </c>
      <c r="IT449" s="1805" t="str">
        <f t="shared" ref="IT449:IT486" si="233">IF(AND($C449="Efficiency", $O449="Mfd Home",$Q449="Yes"),$E449,"")</f>
        <v/>
      </c>
      <c r="IU449" s="1805" t="str">
        <f t="shared" ref="IU449:IU486" si="234">IF(AND($C449=1, $O449="Mfd Home",$Q449="Yes"),$E449,"")</f>
        <v/>
      </c>
      <c r="IV449" s="1805" t="str">
        <f t="shared" ref="IV449:IV486" si="235">IF(AND($C449=2, $O449="Mfd Home",$Q449="Yes"),$E449,"")</f>
        <v/>
      </c>
      <c r="IW449" s="1805" t="str">
        <f t="shared" ref="IW449:IW486" si="236">IF(AND($C449=3, $O449="Mfd Home",$Q449="Yes"),$E449,"")</f>
        <v/>
      </c>
      <c r="IX449" s="1805" t="str">
        <f t="shared" ref="IX449:IX486" si="237">IF(AND($C449=4, $O449="Mfd Home",$Q449="Yes"),$E449,"")</f>
        <v/>
      </c>
      <c r="IY449" s="1805" t="str">
        <f t="shared" ref="IY449:IY486" si="238">IF(AND($C449="Efficiency", $O449="Semi-Detached",NOT($Q449="Yes")),$E449,"")</f>
        <v/>
      </c>
      <c r="IZ449" s="1805" t="str">
        <f t="shared" ref="IZ449:IZ486" si="239">IF(AND($C449=1, $O449="Semi-Detached",NOT($Q449="Yes")),$E449,"")</f>
        <v/>
      </c>
      <c r="JA449" s="1805" t="str">
        <f t="shared" ref="JA449:JA486" si="240">IF(AND($C449=2, $O449="Semi-Detached",NOT($Q449="Yes")),$E449,"")</f>
        <v/>
      </c>
      <c r="JB449" s="1805" t="str">
        <f t="shared" ref="JB449:JB486" si="241">IF(AND($C449=3, $O449="Semi-Detached",NOT($Q449="Yes")),$E449,"")</f>
        <v/>
      </c>
      <c r="JC449" s="1805" t="str">
        <f t="shared" ref="JC449:JC486" si="242">IF(AND($C449=4, $O449="Semi-Detached",NOT($Q449="Yes")),$E449,"")</f>
        <v/>
      </c>
      <c r="JD449" s="1805" t="str">
        <f t="shared" ref="JD449:JD486" si="243">IF(AND($C449="Efficiency", $O449="Semi-Detached",$Q449="Yes"),$E449,"")</f>
        <v/>
      </c>
      <c r="JE449" s="1805" t="str">
        <f t="shared" ref="JE449:JE486" si="244">IF(AND($C449=1, $O449="Semi-Detached",$Q449="Yes"),$E449,"")</f>
        <v/>
      </c>
      <c r="JF449" s="1805" t="str">
        <f t="shared" ref="JF449:JF486" si="245">IF(AND($C449=2, $O449="Semi-Detached",$Q449="Yes"),$E449,"")</f>
        <v/>
      </c>
      <c r="JG449" s="1805" t="str">
        <f t="shared" ref="JG449:JG486" si="246">IF(AND($C449=3, $O449="Semi-Detached",$Q449="Yes"),$E449,"")</f>
        <v/>
      </c>
      <c r="JH449" s="1805" t="str">
        <f t="shared" ref="JH449:JH486" si="247">IF(AND($C449=4, $O449="Semi-Detached",$Q449="Yes"),$E449,"")</f>
        <v/>
      </c>
      <c r="JI449" s="1805" t="str">
        <f t="shared" ref="JI449:JI486" si="248">IF(AND($C449="Efficiency", $O449="Row House/TH",NOT($Q449="Yes")),$E449,"")</f>
        <v/>
      </c>
      <c r="JJ449" s="1805" t="str">
        <f t="shared" ref="JJ449:JJ486" si="249">IF(AND($C449=1, $O449="Row House/TH",NOT($Q449="Yes")),$E449,"")</f>
        <v/>
      </c>
      <c r="JK449" s="1805" t="str">
        <f t="shared" ref="JK449:JK486" si="250">IF(AND($C449=2, $O449="Row House/TH",NOT($Q449="Yes")),$E449,"")</f>
        <v/>
      </c>
      <c r="JL449" s="1805" t="str">
        <f t="shared" ref="JL449:JL486" si="251">IF(AND($C449=3, $O449="Row House/TH",NOT($Q449="Yes")),$E449,"")</f>
        <v/>
      </c>
      <c r="JM449" s="1805" t="str">
        <f t="shared" ref="JM449:JM486" si="252">IF(AND($C449=4, $O449="Row House/TH",NOT($Q449="Yes")),$E449,"")</f>
        <v/>
      </c>
      <c r="JN449" s="1805" t="str">
        <f t="shared" ref="JN449:JN486" si="253">IF(AND($C449="Efficiency", $O449="Row House/TH",$Q449="Yes"),$E449,"")</f>
        <v/>
      </c>
      <c r="JO449" s="1805" t="str">
        <f t="shared" ref="JO449:JO486" si="254">IF(AND($C449=1, $O449="Row House/TH",$Q449="Yes"),$E449,"")</f>
        <v/>
      </c>
      <c r="JP449" s="1805" t="str">
        <f t="shared" ref="JP449:JP486" si="255">IF(AND($C449=2, $O449="Row House/TH",$Q449="Yes"),$E449,"")</f>
        <v/>
      </c>
      <c r="JQ449" s="1805" t="str">
        <f t="shared" ref="JQ449:JQ486" si="256">IF(AND($C449=3, $O449="Row House/TH",$Q449="Yes"),$E449,"")</f>
        <v/>
      </c>
      <c r="JR449" s="1805" t="str">
        <f t="shared" ref="JR449:JR486" si="257">IF(AND($C449=4, $O449="Row House/TH",$Q449="Yes"),$E449,"")</f>
        <v/>
      </c>
      <c r="JS449" s="1805" t="str">
        <f t="shared" ref="JS449:JS486" si="258">IF(AND($C449="Efficiency", $O449="Low-Rise Apt",NOT($Q449="Yes")),$E449,"")</f>
        <v/>
      </c>
      <c r="JT449" s="1805" t="str">
        <f t="shared" ref="JT449:JT486" si="259">IF(AND($C449=1, $O449="Low-Rise Apt",NOT($Q449="Yes")),$E449,"")</f>
        <v/>
      </c>
      <c r="JU449" s="1805" t="str">
        <f t="shared" ref="JU449:JU486" si="260">IF(AND($C449=2, $O449="Low-Rise Apt",NOT($Q449="Yes")),$E449,"")</f>
        <v/>
      </c>
      <c r="JV449" s="1805" t="str">
        <f t="shared" ref="JV449:JV486" si="261">IF(AND($C449=3, $O449="Low-Rise Apt",NOT($Q449="Yes")),$E449,"")</f>
        <v/>
      </c>
      <c r="JW449" s="1805" t="str">
        <f t="shared" ref="JW449:JW486" si="262">IF(AND($C449=4, $O449="Low-Rise Apt",NOT($Q449="Yes")),$E449,"")</f>
        <v/>
      </c>
      <c r="JX449" s="1805" t="str">
        <f t="shared" ref="JX449:JX486" si="263">IF(AND($C449="Efficiency", $O449="Low-Rise Elevator",NOT($Q449="Yes")),$E449,"")</f>
        <v/>
      </c>
      <c r="JY449" s="1805" t="str">
        <f t="shared" ref="JY449:JY486" si="264">IF(AND($C449=1, $O449="Low-Rise Elevator",NOT($Q449="Yes")),$E449,"")</f>
        <v/>
      </c>
      <c r="JZ449" s="1805" t="str">
        <f t="shared" ref="JZ449:JZ486" si="265">IF(AND($C449=2, $O449="Low-Rise Elevator",NOT($Q449="Yes")),$E449,"")</f>
        <v/>
      </c>
      <c r="KA449" s="1805" t="str">
        <f t="shared" ref="KA449:KA486" si="266">IF(AND($C449=3, $O449="Low-Rise Elevator",NOT($Q449="Yes")),$E449,"")</f>
        <v/>
      </c>
      <c r="KB449" s="1805" t="str">
        <f t="shared" ref="KB449:KB486" si="267">IF(AND($C449=4, $O449="Low-Rise Elevator",NOT($Q449="Yes")),$E449,"")</f>
        <v/>
      </c>
      <c r="KC449" s="1805" t="str">
        <f t="shared" ref="KC449:KC486" si="268">IF(AND($C449="Efficiency", $O449="Low-Rise Apt",$Q449="Yes"),$E449,"")</f>
        <v/>
      </c>
      <c r="KD449" s="1805" t="str">
        <f t="shared" ref="KD449:KD486" si="269">IF(AND($C449=1, $O449="Low-Rise Apt",$Q449="Yes"),$E449,"")</f>
        <v/>
      </c>
      <c r="KE449" s="1805" t="str">
        <f t="shared" ref="KE449:KE486" si="270">IF(AND($C449=2, $O449="Low-Rise Apt",$Q449="Yes"),$E449,"")</f>
        <v/>
      </c>
      <c r="KF449" s="1805" t="str">
        <f t="shared" ref="KF449:KF486" si="271">IF(AND($C449=3, $O449="Low-Rise Apt",$Q449="Yes"),$E449,"")</f>
        <v/>
      </c>
      <c r="KG449" s="1805" t="str">
        <f t="shared" ref="KG449:KG486" si="272">IF(AND($C449=4, $O449="Low-Rise Apt",$Q449="Yes"),$E449,"")</f>
        <v/>
      </c>
      <c r="KH449" s="1805" t="str">
        <f t="shared" ref="KH449:KH486" si="273">IF(AND($C449="Efficiency", $O449="Low-Rise Elevator",$Q449="Yes"),$E449,"")</f>
        <v/>
      </c>
      <c r="KI449" s="1805" t="str">
        <f t="shared" ref="KI449:KI486" si="274">IF(AND($C449=1, $O449="Low-Rise Elevator",$Q449="Yes"),$E449,"")</f>
        <v/>
      </c>
      <c r="KJ449" s="1805" t="str">
        <f t="shared" ref="KJ449:KJ486" si="275">IF(AND($C449=2, $O449="Low-Rise Elevator",$Q449="Yes"),$E449,"")</f>
        <v/>
      </c>
      <c r="KK449" s="1805" t="str">
        <f t="shared" ref="KK449:KK486" si="276">IF(AND($C449=3, $O449="Low-Rise Elevator",$Q449="Yes"),$E449,"")</f>
        <v/>
      </c>
      <c r="KL449" s="1805" t="str">
        <f t="shared" ref="KL449:KL486" si="277">IF(AND($C449=4, $O449="Low-Rise Elevator",$Q449="Yes"),$E449,"")</f>
        <v/>
      </c>
      <c r="KM449" s="1805" t="str">
        <f t="shared" ref="KM449:KM486" si="278">IF(AND($C449="Efficiency", $O449="High-Rise Apt",NOT($Q449="Yes")),$E449,"")</f>
        <v/>
      </c>
      <c r="KN449" s="1805" t="str">
        <f t="shared" ref="KN449:KN486" si="279">IF(AND($C449=1, $O449="High-Rise Apt",NOT($Q449="Yes")),$E449,"")</f>
        <v/>
      </c>
      <c r="KO449" s="1805" t="str">
        <f t="shared" ref="KO449:KO486" si="280">IF(AND($C449=2, $O449="High-Rise Apt",NOT($Q449="Yes")),$E449,"")</f>
        <v/>
      </c>
      <c r="KP449" s="1805" t="str">
        <f t="shared" ref="KP449:KP486" si="281">IF(AND($C449=3, $O449="High-Rise Apt",NOT($Q449="Yes")),$E449,"")</f>
        <v/>
      </c>
      <c r="KQ449" s="1805" t="str">
        <f t="shared" ref="KQ449:KQ486" si="282">IF(AND($C449=4, $O449="High-Rise Apt",NOT($Q449="Yes")),$E449,"")</f>
        <v/>
      </c>
      <c r="KR449" s="1805" t="str">
        <f t="shared" ref="KR449:KR486" si="283">IF(AND($C449="Efficiency", $O449="High-Rise Elevator",NOT($Q449="Yes")),$E449,"")</f>
        <v/>
      </c>
      <c r="KS449" s="1805" t="str">
        <f t="shared" ref="KS449:KS486" si="284">IF(AND($C449=1, $O449="High-Rise Elevator",NOT($Q449="Yes")),$E449,"")</f>
        <v/>
      </c>
      <c r="KT449" s="1805" t="str">
        <f t="shared" ref="KT449:KT486" si="285">IF(AND($C449=2, $O449="High-Rise Elevator",NOT($Q449="Yes")),$E449,"")</f>
        <v/>
      </c>
      <c r="KU449" s="1805" t="str">
        <f t="shared" ref="KU449:KU486" si="286">IF(AND($C449=3, $O449="High-Rise Elevator",NOT($Q449="Yes")),$E449,"")</f>
        <v/>
      </c>
      <c r="KV449" s="1805" t="str">
        <f t="shared" ref="KV449:KV486" si="287">IF(AND($C449=4, $O449="High-Rise Elevator",NOT($Q449="Yes")),$E449,"")</f>
        <v/>
      </c>
      <c r="KW449" s="1805" t="str">
        <f t="shared" ref="KW449:KW486" si="288">IF(AND($C449="Efficiency", $O449="High-Rise Apt",$Q449="Yes"),$E449,"")</f>
        <v/>
      </c>
      <c r="KX449" s="1805" t="str">
        <f t="shared" ref="KX449:KX486" si="289">IF(AND($C449=1, $O449="High-Rise Apt",$Q449="Yes"),$E449,"")</f>
        <v/>
      </c>
      <c r="KY449" s="1805" t="str">
        <f t="shared" ref="KY449:KY486" si="290">IF(AND($C449=2, $O449="High-Rise Apt",$Q449="Yes"),$E449,"")</f>
        <v/>
      </c>
      <c r="KZ449" s="1805" t="str">
        <f t="shared" ref="KZ449:KZ486" si="291">IF(AND($C449=3, $O449="High-Rise Apt",$Q449="Yes"),$E449,"")</f>
        <v/>
      </c>
      <c r="LA449" s="1805" t="str">
        <f t="shared" ref="LA449:LA486" si="292">IF(AND($C449=4, $O449="High-Rise Apt",$Q449="Yes"),$E449,"")</f>
        <v/>
      </c>
      <c r="LB449" s="1805" t="str">
        <f t="shared" ref="LB449:LB486" si="293">IF(AND($C449="Efficiency", $O449="High-Rise Elevator",$Q449="Yes"),$E449,"")</f>
        <v/>
      </c>
      <c r="LC449" s="1805" t="str">
        <f t="shared" ref="LC449:LC486" si="294">IF(AND($C449=1, $O449="High-Rise Elevator",$Q449="Yes"),$E449,"")</f>
        <v/>
      </c>
      <c r="LD449" s="1805" t="str">
        <f t="shared" ref="LD449:LD486" si="295">IF(AND($C449=2, $O449="High-Rise Elevator",$Q449="Yes"),$E449,"")</f>
        <v/>
      </c>
      <c r="LE449" s="1805" t="str">
        <f t="shared" ref="LE449:LE486" si="296">IF(AND($C449=3, $O449="High-Rise Elevator",$Q449="Yes"),$E449,"")</f>
        <v/>
      </c>
      <c r="LF449" s="1805" t="str">
        <f t="shared" ref="LF449:LF486" si="297">IF(AND($C449=4, $O449="High-Rise Elevator",$Q449="Yes"),$E449,"")</f>
        <v/>
      </c>
      <c r="LG449" s="1794" t="str">
        <f t="shared" ref="LG449:LG486" si="298">IF(AND($B449="NSP 120% AMI",$C449="Efficiency", NOT($N449="Common Space")),$E449,"")</f>
        <v/>
      </c>
      <c r="LH449" s="1794" t="str">
        <f t="shared" ref="LH449:LH486" si="299">IF(AND($B449="NSP 120% AMI",$C449=1,NOT($N449="Common Space")),$E449,"")</f>
        <v/>
      </c>
      <c r="LI449" s="1794" t="str">
        <f t="shared" ref="LI449:LI486" si="300">IF(AND($B449="NSP 120% AMI",$C449=2,NOT($N449="Common Space")),$E449,"")</f>
        <v/>
      </c>
      <c r="LJ449" s="1794" t="str">
        <f t="shared" ref="LJ449:LJ486" si="301">IF(AND($B449="NSP 120% AMI",$C449=3,NOT($N449="Common Space")),$E449,"")</f>
        <v/>
      </c>
      <c r="LK449" s="1794"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7">
        <f t="shared" ref="MF449:MF486" si="323">IF(AND($C449="Efficiency",$E449&gt;0,OR($O449="Low-Rise Apt",$O449="Low-Rise Elevator",$O449="High-Rise Apt",$O449="High-Rise Elevator",$O449="Row House/TH"),OR($P449="Acquisition/Rehab",$P449="Rehabilitation"),NOT($Q449="Yes")),$E449,0)</f>
        <v>0</v>
      </c>
      <c r="MG449" s="1657">
        <f t="shared" ref="MG449:MG486" si="324">IF(AND($C449=1,$E449&gt;0,OR($O449="Low-Rise Apt",$O449="Low-Rise Elevator",$O449="High-Rise Apt",$O449="High-Rise Elevator",$O449="Row House/TH"),OR($P449="Acquisition/Rehab",$P449="Rehabilitation"),NOT($Q449="Yes")),$E449,0)</f>
        <v>0</v>
      </c>
      <c r="MH449" s="1657">
        <f t="shared" ref="MH449:MH486" si="325">IF(AND($C449=2,$E449&gt;0,OR($O449="Low-Rise Apt",$O449="Low-Rise Elevator",$O449="High-Rise Apt",$O449="High-Rise Elevator",$O449="Row House/TH"),OR($P449="Acquisition/Rehab",$P449="Rehabilitation"),NOT($Q449="Yes")),$E449,0)</f>
        <v>0</v>
      </c>
      <c r="MI449" s="1657">
        <f t="shared" ref="MI449:MI486" si="326">IF(AND($C449=3,$E449&gt;0,OR($O449="Low-Rise Apt",$O449="Low-Rise Elevator",$O449="High-Rise Apt",$O449="High-Rise Elevator",$O449="Row House/TH"),OR($P449="Acquisition/Rehab",$P449="Rehabilitation"),NOT($Q449="Yes")),$E449,0)</f>
        <v>0</v>
      </c>
      <c r="MJ449" s="1657">
        <f t="shared" ref="MJ449:MJ486" si="327">IF(AND($C449=4,$E449&gt;0,OR($O449="Low-Rise Apt",$O449="Low-Rise Elevator",$O449="High-Rise Apt",$O449="High-Rise Elevator",$O449="Row House/TH"),OR($P449="Acquisition/Rehab",$P449="Rehabilitation"),NOT($Q449="Yes")),$E449,0)</f>
        <v>0</v>
      </c>
      <c r="MK449" s="1657">
        <f>IF(AND($C449="Efficiency",$E449&gt;0,OR($O449="Low-Rise Apt",$O449="Low-Rise Elevator",$O449="High-Rise Apt",$O449="High-Rise Elevator",$O449="Row House/TH"),$P449="New Construction"),$E449,0)</f>
        <v>0</v>
      </c>
      <c r="ML449" s="1657">
        <f>IF(AND($C449=1,$E449&gt;0,OR($O449="Low-Rise Apt",$O449="Low-Rise Elevator",$O449="High-Rise Apt",$O449="High-Rise Elevator",$O449="Row House/TH"),$P449="New Construction"),$E449,0)</f>
        <v>0</v>
      </c>
      <c r="MM449" s="1657">
        <f>IF(AND($C449=2,$E449&gt;0,OR($O449="Low-Rise Apt",$O449="Low-Rise Elevator",$O449="High-Rise Apt",$O449="High-Rise Elevator",$O449="Row House/TH"),$P449="New Construction"),$E449,0)</f>
        <v>0</v>
      </c>
      <c r="MN449" s="1657">
        <f>IF(AND($C449=3,$E449&gt;0,OR($O449="Low-Rise Apt",$O449="Low-Rise Elevator",$O449="High-Rise Apt",$O449="High-Rise Elevator",$O449="Row House/TH"),$P449="New Construction"),$E449,0)</f>
        <v>0</v>
      </c>
      <c r="MO449" s="1657">
        <f>IF(AND($C449=4,$E449&gt;0,OR($O449="Low-Rise Apt",$O449="Low-Rise Elevator",$O449="High-Rise Apt",$O449="High-Rise Elevator",$O449="Row House/TH"),$P449="New Construction"),$E449,0)</f>
        <v>0</v>
      </c>
      <c r="MP449" s="1657">
        <f t="shared" ref="MP449:MP486" si="328">IF(AND($C449="Efficiency",$E449&gt;0,OR($O449="SF Detached",$O449="Semi-Detached",$O449="Mfd Home"),NOT($Q449="Yes")),$E449,0)</f>
        <v>0</v>
      </c>
      <c r="MQ449" s="1657">
        <f t="shared" ref="MQ449:MQ486" si="329">IF(AND($C449=1,$E449&gt;0,OR($O449="SF Detached",$O449="Semi-Detached",$O449="Mfd Home"),NOT($Q449="Yes")),$E449,0)</f>
        <v>0</v>
      </c>
      <c r="MR449" s="1657">
        <f t="shared" ref="MR449:MR486" si="330">IF(AND($C449=2,$E449&gt;0,OR($O449="SF Detached",$O449="Semi-Detached",$O449="Mfd Home"),NOT($Q449="Yes")),$E449,0)</f>
        <v>0</v>
      </c>
      <c r="MS449" s="1657">
        <f t="shared" ref="MS449:MS486" si="331">IF(AND($C449=3,$E449&gt;0,OR($O449="SF Detached",$O449="Semi-Detached",$O449="Mfd Home"),NOT($Q449="Yes")),$E449,0)</f>
        <v>0</v>
      </c>
      <c r="MT449" s="1657">
        <f t="shared" ref="MT449:MT486" si="332">IF(AND($C449=4,$E449&gt;0,OR($O449="SF Detached",$O449="Semi-Detached",$O449="Mfd Home"),NOT($Q449="Yes")),$E449,0)</f>
        <v>0</v>
      </c>
      <c r="NP449" s="356" t="s">
        <v>4304</v>
      </c>
    </row>
    <row r="450" spans="1:380" ht="13.9" customHeight="1">
      <c r="A450" s="2645" t="str">
        <f t="shared" si="0"/>
        <v/>
      </c>
      <c r="B450" s="2664" t="str">
        <f>'Part V-Revenues &amp; Expenses'!B12</f>
        <v>N/A-CS</v>
      </c>
      <c r="C450" s="2665">
        <f>'Part V-Revenues &amp; Expenses'!C12</f>
        <v>0</v>
      </c>
      <c r="D450" s="2666">
        <f>'Part V-Revenues &amp; Expenses'!D12</f>
        <v>0</v>
      </c>
      <c r="E450" s="2667">
        <f>'Part V-Revenues &amp; Expenses'!E12</f>
        <v>0</v>
      </c>
      <c r="F450" s="2667">
        <f>'Part V-Revenues &amp; Expenses'!F12</f>
        <v>0</v>
      </c>
      <c r="G450" s="2667">
        <f>'Part V-Revenues &amp; Expenses'!G12</f>
        <v>0</v>
      </c>
      <c r="H450" s="2667">
        <f>'Part V-Revenues &amp; Expenses'!H12</f>
        <v>0</v>
      </c>
      <c r="I450" s="2667">
        <f>'Part V-Revenues &amp; Expenses'!I12</f>
        <v>0</v>
      </c>
      <c r="J450" s="2667">
        <f>'Part V-Revenues &amp; Expenses'!J12</f>
        <v>0</v>
      </c>
      <c r="K450" s="2668">
        <f>'Part V-Revenues &amp; Expenses'!K12</f>
        <v>0</v>
      </c>
      <c r="L450" s="2669">
        <f t="shared" si="1"/>
        <v>0</v>
      </c>
      <c r="M450" s="2669">
        <f t="shared" si="2"/>
        <v>0</v>
      </c>
      <c r="N450" s="2538">
        <f>'Part V-Revenues &amp; Expenses'!N12</f>
        <v>0</v>
      </c>
      <c r="O450" s="1257">
        <f>'Part V-Revenues &amp; Expenses'!O12</f>
        <v>0</v>
      </c>
      <c r="P450" s="2538">
        <f>'Part V-Revenues &amp; Expenses'!P12</f>
        <v>0</v>
      </c>
      <c r="Q450" s="1804">
        <f>'Part V-Revenues &amp; Expenses'!Q12</f>
        <v>0</v>
      </c>
      <c r="R450" s="2670"/>
      <c r="S450" s="2671"/>
      <c r="T450" s="2672"/>
      <c r="U450" s="2672"/>
      <c r="V450" s="2672"/>
      <c r="W450" s="2672"/>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5" t="str">
        <f t="shared" si="213"/>
        <v/>
      </c>
      <c r="IA450" s="1805" t="str">
        <f t="shared" si="214"/>
        <v/>
      </c>
      <c r="IB450" s="1805" t="str">
        <f t="shared" si="215"/>
        <v/>
      </c>
      <c r="IC450" s="1805" t="str">
        <f t="shared" si="216"/>
        <v/>
      </c>
      <c r="ID450" s="1805" t="str">
        <f t="shared" si="217"/>
        <v/>
      </c>
      <c r="IE450" s="1805" t="str">
        <f t="shared" si="218"/>
        <v/>
      </c>
      <c r="IF450" s="1805" t="str">
        <f t="shared" si="219"/>
        <v/>
      </c>
      <c r="IG450" s="1805" t="str">
        <f t="shared" si="220"/>
        <v/>
      </c>
      <c r="IH450" s="1805" t="str">
        <f t="shared" si="221"/>
        <v/>
      </c>
      <c r="II450" s="1805" t="str">
        <f t="shared" si="222"/>
        <v/>
      </c>
      <c r="IJ450" s="1805" t="str">
        <f t="shared" si="223"/>
        <v/>
      </c>
      <c r="IK450" s="1805" t="str">
        <f t="shared" si="224"/>
        <v/>
      </c>
      <c r="IL450" s="1805" t="str">
        <f t="shared" si="225"/>
        <v/>
      </c>
      <c r="IM450" s="1805" t="str">
        <f t="shared" si="226"/>
        <v/>
      </c>
      <c r="IN450" s="1805" t="str">
        <f t="shared" si="227"/>
        <v/>
      </c>
      <c r="IO450" s="1805" t="str">
        <f t="shared" si="228"/>
        <v/>
      </c>
      <c r="IP450" s="1805" t="str">
        <f t="shared" si="229"/>
        <v/>
      </c>
      <c r="IQ450" s="1805" t="str">
        <f t="shared" si="230"/>
        <v/>
      </c>
      <c r="IR450" s="1805" t="str">
        <f t="shared" si="231"/>
        <v/>
      </c>
      <c r="IS450" s="1805" t="str">
        <f t="shared" si="232"/>
        <v/>
      </c>
      <c r="IT450" s="1805" t="str">
        <f t="shared" si="233"/>
        <v/>
      </c>
      <c r="IU450" s="1805" t="str">
        <f t="shared" si="234"/>
        <v/>
      </c>
      <c r="IV450" s="1805" t="str">
        <f t="shared" si="235"/>
        <v/>
      </c>
      <c r="IW450" s="1805" t="str">
        <f t="shared" si="236"/>
        <v/>
      </c>
      <c r="IX450" s="1805" t="str">
        <f t="shared" si="237"/>
        <v/>
      </c>
      <c r="IY450" s="1805" t="str">
        <f t="shared" si="238"/>
        <v/>
      </c>
      <c r="IZ450" s="1805" t="str">
        <f t="shared" si="239"/>
        <v/>
      </c>
      <c r="JA450" s="1805" t="str">
        <f t="shared" si="240"/>
        <v/>
      </c>
      <c r="JB450" s="1805" t="str">
        <f t="shared" si="241"/>
        <v/>
      </c>
      <c r="JC450" s="1805" t="str">
        <f t="shared" si="242"/>
        <v/>
      </c>
      <c r="JD450" s="1805" t="str">
        <f t="shared" si="243"/>
        <v/>
      </c>
      <c r="JE450" s="1805" t="str">
        <f t="shared" si="244"/>
        <v/>
      </c>
      <c r="JF450" s="1805" t="str">
        <f t="shared" si="245"/>
        <v/>
      </c>
      <c r="JG450" s="1805" t="str">
        <f t="shared" si="246"/>
        <v/>
      </c>
      <c r="JH450" s="1805" t="str">
        <f t="shared" si="247"/>
        <v/>
      </c>
      <c r="JI450" s="1805" t="str">
        <f t="shared" si="248"/>
        <v/>
      </c>
      <c r="JJ450" s="1805" t="str">
        <f t="shared" si="249"/>
        <v/>
      </c>
      <c r="JK450" s="1805" t="str">
        <f t="shared" si="250"/>
        <v/>
      </c>
      <c r="JL450" s="1805" t="str">
        <f t="shared" si="251"/>
        <v/>
      </c>
      <c r="JM450" s="1805" t="str">
        <f t="shared" si="252"/>
        <v/>
      </c>
      <c r="JN450" s="1805" t="str">
        <f t="shared" si="253"/>
        <v/>
      </c>
      <c r="JO450" s="1805" t="str">
        <f t="shared" si="254"/>
        <v/>
      </c>
      <c r="JP450" s="1805" t="str">
        <f t="shared" si="255"/>
        <v/>
      </c>
      <c r="JQ450" s="1805" t="str">
        <f t="shared" si="256"/>
        <v/>
      </c>
      <c r="JR450" s="1805" t="str">
        <f t="shared" si="257"/>
        <v/>
      </c>
      <c r="JS450" s="1805" t="str">
        <f t="shared" si="258"/>
        <v/>
      </c>
      <c r="JT450" s="1805" t="str">
        <f t="shared" si="259"/>
        <v/>
      </c>
      <c r="JU450" s="1805" t="str">
        <f t="shared" si="260"/>
        <v/>
      </c>
      <c r="JV450" s="1805" t="str">
        <f t="shared" si="261"/>
        <v/>
      </c>
      <c r="JW450" s="1805" t="str">
        <f t="shared" si="262"/>
        <v/>
      </c>
      <c r="JX450" s="1805" t="str">
        <f t="shared" si="263"/>
        <v/>
      </c>
      <c r="JY450" s="1805" t="str">
        <f t="shared" si="264"/>
        <v/>
      </c>
      <c r="JZ450" s="1805" t="str">
        <f t="shared" si="265"/>
        <v/>
      </c>
      <c r="KA450" s="1805" t="str">
        <f t="shared" si="266"/>
        <v/>
      </c>
      <c r="KB450" s="1805" t="str">
        <f t="shared" si="267"/>
        <v/>
      </c>
      <c r="KC450" s="1805" t="str">
        <f t="shared" si="268"/>
        <v/>
      </c>
      <c r="KD450" s="1805" t="str">
        <f t="shared" si="269"/>
        <v/>
      </c>
      <c r="KE450" s="1805" t="str">
        <f t="shared" si="270"/>
        <v/>
      </c>
      <c r="KF450" s="1805" t="str">
        <f t="shared" si="271"/>
        <v/>
      </c>
      <c r="KG450" s="1805" t="str">
        <f t="shared" si="272"/>
        <v/>
      </c>
      <c r="KH450" s="1805" t="str">
        <f t="shared" si="273"/>
        <v/>
      </c>
      <c r="KI450" s="1805" t="str">
        <f t="shared" si="274"/>
        <v/>
      </c>
      <c r="KJ450" s="1805" t="str">
        <f t="shared" si="275"/>
        <v/>
      </c>
      <c r="KK450" s="1805" t="str">
        <f t="shared" si="276"/>
        <v/>
      </c>
      <c r="KL450" s="1805" t="str">
        <f t="shared" si="277"/>
        <v/>
      </c>
      <c r="KM450" s="1805" t="str">
        <f t="shared" si="278"/>
        <v/>
      </c>
      <c r="KN450" s="1805" t="str">
        <f t="shared" si="279"/>
        <v/>
      </c>
      <c r="KO450" s="1805" t="str">
        <f t="shared" si="280"/>
        <v/>
      </c>
      <c r="KP450" s="1805" t="str">
        <f t="shared" si="281"/>
        <v/>
      </c>
      <c r="KQ450" s="1805" t="str">
        <f t="shared" si="282"/>
        <v/>
      </c>
      <c r="KR450" s="1805" t="str">
        <f t="shared" si="283"/>
        <v/>
      </c>
      <c r="KS450" s="1805" t="str">
        <f t="shared" si="284"/>
        <v/>
      </c>
      <c r="KT450" s="1805" t="str">
        <f t="shared" si="285"/>
        <v/>
      </c>
      <c r="KU450" s="1805" t="str">
        <f t="shared" si="286"/>
        <v/>
      </c>
      <c r="KV450" s="1805" t="str">
        <f t="shared" si="287"/>
        <v/>
      </c>
      <c r="KW450" s="1805" t="str">
        <f t="shared" si="288"/>
        <v/>
      </c>
      <c r="KX450" s="1805" t="str">
        <f t="shared" si="289"/>
        <v/>
      </c>
      <c r="KY450" s="1805" t="str">
        <f t="shared" si="290"/>
        <v/>
      </c>
      <c r="KZ450" s="1805" t="str">
        <f t="shared" si="291"/>
        <v/>
      </c>
      <c r="LA450" s="1805" t="str">
        <f t="shared" si="292"/>
        <v/>
      </c>
      <c r="LB450" s="1805" t="str">
        <f t="shared" si="293"/>
        <v/>
      </c>
      <c r="LC450" s="1805" t="str">
        <f t="shared" si="294"/>
        <v/>
      </c>
      <c r="LD450" s="1805" t="str">
        <f t="shared" si="295"/>
        <v/>
      </c>
      <c r="LE450" s="1805" t="str">
        <f t="shared" si="296"/>
        <v/>
      </c>
      <c r="LF450" s="1805" t="str">
        <f t="shared" si="297"/>
        <v/>
      </c>
      <c r="LG450" s="1794" t="str">
        <f t="shared" si="298"/>
        <v/>
      </c>
      <c r="LH450" s="1794" t="str">
        <f t="shared" si="299"/>
        <v/>
      </c>
      <c r="LI450" s="1794" t="str">
        <f t="shared" si="300"/>
        <v/>
      </c>
      <c r="LJ450" s="1794" t="str">
        <f t="shared" si="301"/>
        <v/>
      </c>
      <c r="LK450" s="1794"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7">
        <f t="shared" si="323"/>
        <v>0</v>
      </c>
      <c r="MG450" s="1657">
        <f t="shared" si="324"/>
        <v>0</v>
      </c>
      <c r="MH450" s="1657">
        <f t="shared" si="325"/>
        <v>0</v>
      </c>
      <c r="MI450" s="1657">
        <f t="shared" si="326"/>
        <v>0</v>
      </c>
      <c r="MJ450" s="1657">
        <f t="shared" si="327"/>
        <v>0</v>
      </c>
      <c r="MK450" s="1657">
        <f t="shared" ref="MK450:MK486" si="333">IF(AND($C450="Efficiency",$E450&gt;0,OR($O450="Low-Rise Apt",$O450="Low-Rise Elevator",$O450="High-Rise Apt",$O450="High-Rise Elevator",$O450="Row House/TH"),$P450="New Construction"),$E450,0)</f>
        <v>0</v>
      </c>
      <c r="ML450" s="1657">
        <f t="shared" ref="ML450:ML486" si="334">IF(AND($C450=1,$E450&gt;0,OR($O450="Low-Rise Apt",$O450="Low-Rise Elevator",$O450="High-Rise Apt",$O450="High-Rise Elevator",$O450="Row House/TH"),$P450="New Construction"),$E450,0)</f>
        <v>0</v>
      </c>
      <c r="MM450" s="1657">
        <f t="shared" ref="MM450:MM486" si="335">IF(AND($C450=2,$E450&gt;0,OR($O450="Low-Rise Apt",$O450="Low-Rise Elevator",$O450="High-Rise Apt",$O450="High-Rise Elevator",$O450="Row House/TH"),$P450="New Construction"),$E450,0)</f>
        <v>0</v>
      </c>
      <c r="MN450" s="1657">
        <f t="shared" ref="MN450:MN486" si="336">IF(AND($C450=3,$E450&gt;0,OR($O450="Low-Rise Apt",$O450="Low-Rise Elevator",$O450="High-Rise Apt",$O450="High-Rise Elevator",$O450="Row House/TH"),$P450="New Construction"),$E450,0)</f>
        <v>0</v>
      </c>
      <c r="MO450" s="1657">
        <f t="shared" ref="MO450:MO486" si="337">IF(AND($C450=4,$E450&gt;0,OR($O450="Low-Rise Apt",$O450="Low-Rise Elevator",$O450="High-Rise Apt",$O450="High-Rise Elevator",$O450="Row House/TH"),$P450="New Construction"),$E450,0)</f>
        <v>0</v>
      </c>
      <c r="MP450" s="1657">
        <f t="shared" si="328"/>
        <v>0</v>
      </c>
      <c r="MQ450" s="1657">
        <f t="shared" si="329"/>
        <v>0</v>
      </c>
      <c r="MR450" s="1657">
        <f t="shared" si="330"/>
        <v>0</v>
      </c>
      <c r="MS450" s="1657">
        <f t="shared" si="331"/>
        <v>0</v>
      </c>
      <c r="MT450" s="1657">
        <f t="shared" si="332"/>
        <v>0</v>
      </c>
      <c r="NP450" s="356" t="s">
        <v>4305</v>
      </c>
    </row>
    <row r="451" spans="1:380" ht="13.9" customHeight="1">
      <c r="A451" s="2645" t="str">
        <f t="shared" si="0"/>
        <v/>
      </c>
      <c r="B451" s="2664" t="str">
        <f>'Part V-Revenues &amp; Expenses'!B13</f>
        <v>Unrestricted</v>
      </c>
      <c r="C451" s="2665">
        <f>'Part V-Revenues &amp; Expenses'!C13</f>
        <v>1</v>
      </c>
      <c r="D451" s="2666">
        <f>'Part V-Revenues &amp; Expenses'!D13</f>
        <v>1</v>
      </c>
      <c r="E451" s="2667">
        <f>'Part V-Revenues &amp; Expenses'!E13</f>
        <v>4</v>
      </c>
      <c r="F451" s="2667">
        <f>'Part V-Revenues &amp; Expenses'!F13</f>
        <v>700</v>
      </c>
      <c r="G451" s="2667">
        <f>'Part V-Revenues &amp; Expenses'!G13</f>
        <v>0</v>
      </c>
      <c r="H451" s="2667">
        <f>'Part V-Revenues &amp; Expenses'!H13</f>
        <v>1250</v>
      </c>
      <c r="I451" s="2667">
        <f>'Part V-Revenues &amp; Expenses'!I13</f>
        <v>0</v>
      </c>
      <c r="J451" s="2667">
        <f>'Part V-Revenues &amp; Expenses'!J13</f>
        <v>0</v>
      </c>
      <c r="K451" s="2668">
        <f>'Part V-Revenues &amp; Expenses'!K13</f>
        <v>0</v>
      </c>
      <c r="L451" s="2669">
        <f t="shared" si="1"/>
        <v>1250</v>
      </c>
      <c r="M451" s="2669">
        <f t="shared" si="2"/>
        <v>5000</v>
      </c>
      <c r="N451" s="2538">
        <f>'Part V-Revenues &amp; Expenses'!N13</f>
        <v>0</v>
      </c>
      <c r="O451" s="1257" t="str">
        <f>'Part V-Revenues &amp; Expenses'!O13</f>
        <v>High-Rise Elevator</v>
      </c>
      <c r="P451" s="2538" t="str">
        <f>'Part V-Revenues &amp; Expenses'!P13</f>
        <v>New Construction</v>
      </c>
      <c r="Q451" s="1804" t="str">
        <f>'Part V-Revenues &amp; Expenses'!Q13</f>
        <v>No</v>
      </c>
      <c r="R451" s="2670"/>
      <c r="S451" s="2671"/>
      <c r="T451" s="2672"/>
      <c r="U451" s="2672"/>
      <c r="V451" s="2672"/>
      <c r="W451" s="2672"/>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f t="shared" si="39"/>
        <v>4</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f t="shared" si="154"/>
        <v>2800</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f t="shared" si="174"/>
        <v>4</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5" t="str">
        <f t="shared" si="213"/>
        <v/>
      </c>
      <c r="IA451" s="1805">
        <f t="shared" si="214"/>
        <v>4</v>
      </c>
      <c r="IB451" s="1805" t="str">
        <f t="shared" si="215"/>
        <v/>
      </c>
      <c r="IC451" s="1805" t="str">
        <f t="shared" si="216"/>
        <v/>
      </c>
      <c r="ID451" s="1805" t="str">
        <f t="shared" si="217"/>
        <v/>
      </c>
      <c r="IE451" s="1805" t="str">
        <f t="shared" si="218"/>
        <v/>
      </c>
      <c r="IF451" s="1805" t="str">
        <f t="shared" si="219"/>
        <v/>
      </c>
      <c r="IG451" s="1805" t="str">
        <f t="shared" si="220"/>
        <v/>
      </c>
      <c r="IH451" s="1805" t="str">
        <f t="shared" si="221"/>
        <v/>
      </c>
      <c r="II451" s="1805" t="str">
        <f t="shared" si="222"/>
        <v/>
      </c>
      <c r="IJ451" s="1805" t="str">
        <f t="shared" si="223"/>
        <v/>
      </c>
      <c r="IK451" s="1805" t="str">
        <f t="shared" si="224"/>
        <v/>
      </c>
      <c r="IL451" s="1805" t="str">
        <f t="shared" si="225"/>
        <v/>
      </c>
      <c r="IM451" s="1805" t="str">
        <f t="shared" si="226"/>
        <v/>
      </c>
      <c r="IN451" s="1805" t="str">
        <f t="shared" si="227"/>
        <v/>
      </c>
      <c r="IO451" s="1805" t="str">
        <f t="shared" si="228"/>
        <v/>
      </c>
      <c r="IP451" s="1805" t="str">
        <f t="shared" si="229"/>
        <v/>
      </c>
      <c r="IQ451" s="1805" t="str">
        <f t="shared" si="230"/>
        <v/>
      </c>
      <c r="IR451" s="1805" t="str">
        <f t="shared" si="231"/>
        <v/>
      </c>
      <c r="IS451" s="1805" t="str">
        <f t="shared" si="232"/>
        <v/>
      </c>
      <c r="IT451" s="1805" t="str">
        <f t="shared" si="233"/>
        <v/>
      </c>
      <c r="IU451" s="1805" t="str">
        <f t="shared" si="234"/>
        <v/>
      </c>
      <c r="IV451" s="1805" t="str">
        <f t="shared" si="235"/>
        <v/>
      </c>
      <c r="IW451" s="1805" t="str">
        <f t="shared" si="236"/>
        <v/>
      </c>
      <c r="IX451" s="1805" t="str">
        <f t="shared" si="237"/>
        <v/>
      </c>
      <c r="IY451" s="1805" t="str">
        <f t="shared" si="238"/>
        <v/>
      </c>
      <c r="IZ451" s="1805" t="str">
        <f t="shared" si="239"/>
        <v/>
      </c>
      <c r="JA451" s="1805" t="str">
        <f t="shared" si="240"/>
        <v/>
      </c>
      <c r="JB451" s="1805" t="str">
        <f t="shared" si="241"/>
        <v/>
      </c>
      <c r="JC451" s="1805" t="str">
        <f t="shared" si="242"/>
        <v/>
      </c>
      <c r="JD451" s="1805" t="str">
        <f t="shared" si="243"/>
        <v/>
      </c>
      <c r="JE451" s="1805" t="str">
        <f t="shared" si="244"/>
        <v/>
      </c>
      <c r="JF451" s="1805" t="str">
        <f t="shared" si="245"/>
        <v/>
      </c>
      <c r="JG451" s="1805" t="str">
        <f t="shared" si="246"/>
        <v/>
      </c>
      <c r="JH451" s="1805" t="str">
        <f t="shared" si="247"/>
        <v/>
      </c>
      <c r="JI451" s="1805" t="str">
        <f t="shared" si="248"/>
        <v/>
      </c>
      <c r="JJ451" s="1805" t="str">
        <f t="shared" si="249"/>
        <v/>
      </c>
      <c r="JK451" s="1805" t="str">
        <f t="shared" si="250"/>
        <v/>
      </c>
      <c r="JL451" s="1805" t="str">
        <f t="shared" si="251"/>
        <v/>
      </c>
      <c r="JM451" s="1805" t="str">
        <f t="shared" si="252"/>
        <v/>
      </c>
      <c r="JN451" s="1805" t="str">
        <f t="shared" si="253"/>
        <v/>
      </c>
      <c r="JO451" s="1805" t="str">
        <f t="shared" si="254"/>
        <v/>
      </c>
      <c r="JP451" s="1805" t="str">
        <f t="shared" si="255"/>
        <v/>
      </c>
      <c r="JQ451" s="1805" t="str">
        <f t="shared" si="256"/>
        <v/>
      </c>
      <c r="JR451" s="1805" t="str">
        <f t="shared" si="257"/>
        <v/>
      </c>
      <c r="JS451" s="1805" t="str">
        <f t="shared" si="258"/>
        <v/>
      </c>
      <c r="JT451" s="1805" t="str">
        <f t="shared" si="259"/>
        <v/>
      </c>
      <c r="JU451" s="1805" t="str">
        <f t="shared" si="260"/>
        <v/>
      </c>
      <c r="JV451" s="1805" t="str">
        <f t="shared" si="261"/>
        <v/>
      </c>
      <c r="JW451" s="1805" t="str">
        <f t="shared" si="262"/>
        <v/>
      </c>
      <c r="JX451" s="1805" t="str">
        <f t="shared" si="263"/>
        <v/>
      </c>
      <c r="JY451" s="1805" t="str">
        <f t="shared" si="264"/>
        <v/>
      </c>
      <c r="JZ451" s="1805" t="str">
        <f t="shared" si="265"/>
        <v/>
      </c>
      <c r="KA451" s="1805" t="str">
        <f t="shared" si="266"/>
        <v/>
      </c>
      <c r="KB451" s="1805" t="str">
        <f t="shared" si="267"/>
        <v/>
      </c>
      <c r="KC451" s="1805" t="str">
        <f t="shared" si="268"/>
        <v/>
      </c>
      <c r="KD451" s="1805" t="str">
        <f t="shared" si="269"/>
        <v/>
      </c>
      <c r="KE451" s="1805" t="str">
        <f t="shared" si="270"/>
        <v/>
      </c>
      <c r="KF451" s="1805" t="str">
        <f t="shared" si="271"/>
        <v/>
      </c>
      <c r="KG451" s="1805" t="str">
        <f t="shared" si="272"/>
        <v/>
      </c>
      <c r="KH451" s="1805" t="str">
        <f t="shared" si="273"/>
        <v/>
      </c>
      <c r="KI451" s="1805" t="str">
        <f t="shared" si="274"/>
        <v/>
      </c>
      <c r="KJ451" s="1805" t="str">
        <f t="shared" si="275"/>
        <v/>
      </c>
      <c r="KK451" s="1805" t="str">
        <f t="shared" si="276"/>
        <v/>
      </c>
      <c r="KL451" s="1805" t="str">
        <f t="shared" si="277"/>
        <v/>
      </c>
      <c r="KM451" s="1805" t="str">
        <f t="shared" si="278"/>
        <v/>
      </c>
      <c r="KN451" s="1805" t="str">
        <f t="shared" si="279"/>
        <v/>
      </c>
      <c r="KO451" s="1805" t="str">
        <f t="shared" si="280"/>
        <v/>
      </c>
      <c r="KP451" s="1805" t="str">
        <f t="shared" si="281"/>
        <v/>
      </c>
      <c r="KQ451" s="1805" t="str">
        <f t="shared" si="282"/>
        <v/>
      </c>
      <c r="KR451" s="1805" t="str">
        <f t="shared" si="283"/>
        <v/>
      </c>
      <c r="KS451" s="1805">
        <f t="shared" si="284"/>
        <v>4</v>
      </c>
      <c r="KT451" s="1805" t="str">
        <f t="shared" si="285"/>
        <v/>
      </c>
      <c r="KU451" s="1805" t="str">
        <f t="shared" si="286"/>
        <v/>
      </c>
      <c r="KV451" s="1805" t="str">
        <f t="shared" si="287"/>
        <v/>
      </c>
      <c r="KW451" s="1805" t="str">
        <f t="shared" si="288"/>
        <v/>
      </c>
      <c r="KX451" s="1805" t="str">
        <f t="shared" si="289"/>
        <v/>
      </c>
      <c r="KY451" s="1805" t="str">
        <f t="shared" si="290"/>
        <v/>
      </c>
      <c r="KZ451" s="1805" t="str">
        <f t="shared" si="291"/>
        <v/>
      </c>
      <c r="LA451" s="1805" t="str">
        <f t="shared" si="292"/>
        <v/>
      </c>
      <c r="LB451" s="1805" t="str">
        <f t="shared" si="293"/>
        <v/>
      </c>
      <c r="LC451" s="1805" t="str">
        <f t="shared" si="294"/>
        <v/>
      </c>
      <c r="LD451" s="1805" t="str">
        <f t="shared" si="295"/>
        <v/>
      </c>
      <c r="LE451" s="1805" t="str">
        <f t="shared" si="296"/>
        <v/>
      </c>
      <c r="LF451" s="1805" t="str">
        <f t="shared" si="297"/>
        <v/>
      </c>
      <c r="LG451" s="1794" t="str">
        <f t="shared" si="298"/>
        <v/>
      </c>
      <c r="LH451" s="1794" t="str">
        <f t="shared" si="299"/>
        <v/>
      </c>
      <c r="LI451" s="1794" t="str">
        <f t="shared" si="300"/>
        <v/>
      </c>
      <c r="LJ451" s="1794" t="str">
        <f t="shared" si="301"/>
        <v/>
      </c>
      <c r="LK451" s="1794"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7">
        <f t="shared" si="323"/>
        <v>0</v>
      </c>
      <c r="MG451" s="1657">
        <f t="shared" si="324"/>
        <v>0</v>
      </c>
      <c r="MH451" s="1657">
        <f t="shared" si="325"/>
        <v>0</v>
      </c>
      <c r="MI451" s="1657">
        <f t="shared" si="326"/>
        <v>0</v>
      </c>
      <c r="MJ451" s="1657">
        <f t="shared" si="327"/>
        <v>0</v>
      </c>
      <c r="MK451" s="1657">
        <f t="shared" si="333"/>
        <v>0</v>
      </c>
      <c r="ML451" s="1657">
        <f t="shared" si="334"/>
        <v>4</v>
      </c>
      <c r="MM451" s="1657">
        <f t="shared" si="335"/>
        <v>0</v>
      </c>
      <c r="MN451" s="1657">
        <f t="shared" si="336"/>
        <v>0</v>
      </c>
      <c r="MO451" s="1657">
        <f t="shared" si="337"/>
        <v>0</v>
      </c>
      <c r="MP451" s="1657">
        <f t="shared" si="328"/>
        <v>0</v>
      </c>
      <c r="MQ451" s="1657">
        <f t="shared" si="329"/>
        <v>0</v>
      </c>
      <c r="MR451" s="1657">
        <f t="shared" si="330"/>
        <v>0</v>
      </c>
      <c r="MS451" s="1657">
        <f t="shared" si="331"/>
        <v>0</v>
      </c>
      <c r="MT451" s="1657">
        <f t="shared" si="332"/>
        <v>0</v>
      </c>
      <c r="NP451" s="356" t="s">
        <v>4306</v>
      </c>
    </row>
    <row r="452" spans="1:380" ht="13.9" customHeight="1">
      <c r="A452" s="2645" t="str">
        <f t="shared" si="0"/>
        <v/>
      </c>
      <c r="B452" s="2664" t="str">
        <f>'Part V-Revenues &amp; Expenses'!B14</f>
        <v>Unrestricted</v>
      </c>
      <c r="C452" s="2665">
        <f>'Part V-Revenues &amp; Expenses'!C14</f>
        <v>2</v>
      </c>
      <c r="D452" s="2666">
        <f>'Part V-Revenues &amp; Expenses'!D14</f>
        <v>2</v>
      </c>
      <c r="E452" s="2667">
        <f>'Part V-Revenues &amp; Expenses'!E14</f>
        <v>8</v>
      </c>
      <c r="F452" s="2667">
        <f>'Part V-Revenues &amp; Expenses'!F14</f>
        <v>900</v>
      </c>
      <c r="G452" s="2667">
        <f>'Part V-Revenues &amp; Expenses'!G14</f>
        <v>0</v>
      </c>
      <c r="H452" s="2667">
        <f>'Part V-Revenues &amp; Expenses'!H14</f>
        <v>1450</v>
      </c>
      <c r="I452" s="2667">
        <f>'Part V-Revenues &amp; Expenses'!I14</f>
        <v>0</v>
      </c>
      <c r="J452" s="2667">
        <f>'Part V-Revenues &amp; Expenses'!J14</f>
        <v>0</v>
      </c>
      <c r="K452" s="2668">
        <f>'Part V-Revenues &amp; Expenses'!K14</f>
        <v>0</v>
      </c>
      <c r="L452" s="2669">
        <f t="shared" si="1"/>
        <v>1450</v>
      </c>
      <c r="M452" s="2669">
        <f t="shared" si="2"/>
        <v>11600</v>
      </c>
      <c r="N452" s="2538">
        <f>'Part V-Revenues &amp; Expenses'!N14</f>
        <v>0</v>
      </c>
      <c r="O452" s="1257" t="str">
        <f>'Part V-Revenues &amp; Expenses'!O14</f>
        <v>High-Rise Elevator</v>
      </c>
      <c r="P452" s="2538" t="str">
        <f>'Part V-Revenues &amp; Expenses'!P14</f>
        <v>New Construction</v>
      </c>
      <c r="Q452" s="1804" t="str">
        <f>'Part V-Revenues &amp; Expenses'!Q14</f>
        <v>No</v>
      </c>
      <c r="R452" s="2670"/>
      <c r="S452" s="2671"/>
      <c r="T452" s="2672"/>
      <c r="U452" s="2672"/>
      <c r="V452" s="2672"/>
      <c r="W452" s="2672"/>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f t="shared" si="40"/>
        <v>8</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f t="shared" si="155"/>
        <v>7200</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f t="shared" si="175"/>
        <v>8</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5" t="str">
        <f t="shared" si="213"/>
        <v/>
      </c>
      <c r="IA452" s="1805" t="str">
        <f t="shared" si="214"/>
        <v/>
      </c>
      <c r="IB452" s="1805">
        <f t="shared" si="215"/>
        <v>8</v>
      </c>
      <c r="IC452" s="1805" t="str">
        <f t="shared" si="216"/>
        <v/>
      </c>
      <c r="ID452" s="1805" t="str">
        <f t="shared" si="217"/>
        <v/>
      </c>
      <c r="IE452" s="1805" t="str">
        <f t="shared" si="218"/>
        <v/>
      </c>
      <c r="IF452" s="1805" t="str">
        <f t="shared" si="219"/>
        <v/>
      </c>
      <c r="IG452" s="1805" t="str">
        <f t="shared" si="220"/>
        <v/>
      </c>
      <c r="IH452" s="1805" t="str">
        <f t="shared" si="221"/>
        <v/>
      </c>
      <c r="II452" s="1805" t="str">
        <f t="shared" si="222"/>
        <v/>
      </c>
      <c r="IJ452" s="1805" t="str">
        <f t="shared" si="223"/>
        <v/>
      </c>
      <c r="IK452" s="1805" t="str">
        <f t="shared" si="224"/>
        <v/>
      </c>
      <c r="IL452" s="1805" t="str">
        <f t="shared" si="225"/>
        <v/>
      </c>
      <c r="IM452" s="1805" t="str">
        <f t="shared" si="226"/>
        <v/>
      </c>
      <c r="IN452" s="1805" t="str">
        <f t="shared" si="227"/>
        <v/>
      </c>
      <c r="IO452" s="1805" t="str">
        <f t="shared" si="228"/>
        <v/>
      </c>
      <c r="IP452" s="1805" t="str">
        <f t="shared" si="229"/>
        <v/>
      </c>
      <c r="IQ452" s="1805" t="str">
        <f t="shared" si="230"/>
        <v/>
      </c>
      <c r="IR452" s="1805" t="str">
        <f t="shared" si="231"/>
        <v/>
      </c>
      <c r="IS452" s="1805" t="str">
        <f t="shared" si="232"/>
        <v/>
      </c>
      <c r="IT452" s="1805" t="str">
        <f t="shared" si="233"/>
        <v/>
      </c>
      <c r="IU452" s="1805" t="str">
        <f t="shared" si="234"/>
        <v/>
      </c>
      <c r="IV452" s="1805" t="str">
        <f t="shared" si="235"/>
        <v/>
      </c>
      <c r="IW452" s="1805" t="str">
        <f t="shared" si="236"/>
        <v/>
      </c>
      <c r="IX452" s="1805" t="str">
        <f t="shared" si="237"/>
        <v/>
      </c>
      <c r="IY452" s="1805" t="str">
        <f t="shared" si="238"/>
        <v/>
      </c>
      <c r="IZ452" s="1805" t="str">
        <f t="shared" si="239"/>
        <v/>
      </c>
      <c r="JA452" s="1805" t="str">
        <f t="shared" si="240"/>
        <v/>
      </c>
      <c r="JB452" s="1805" t="str">
        <f t="shared" si="241"/>
        <v/>
      </c>
      <c r="JC452" s="1805" t="str">
        <f t="shared" si="242"/>
        <v/>
      </c>
      <c r="JD452" s="1805" t="str">
        <f t="shared" si="243"/>
        <v/>
      </c>
      <c r="JE452" s="1805" t="str">
        <f t="shared" si="244"/>
        <v/>
      </c>
      <c r="JF452" s="1805" t="str">
        <f t="shared" si="245"/>
        <v/>
      </c>
      <c r="JG452" s="1805" t="str">
        <f t="shared" si="246"/>
        <v/>
      </c>
      <c r="JH452" s="1805" t="str">
        <f t="shared" si="247"/>
        <v/>
      </c>
      <c r="JI452" s="1805" t="str">
        <f t="shared" si="248"/>
        <v/>
      </c>
      <c r="JJ452" s="1805" t="str">
        <f t="shared" si="249"/>
        <v/>
      </c>
      <c r="JK452" s="1805" t="str">
        <f t="shared" si="250"/>
        <v/>
      </c>
      <c r="JL452" s="1805" t="str">
        <f t="shared" si="251"/>
        <v/>
      </c>
      <c r="JM452" s="1805" t="str">
        <f t="shared" si="252"/>
        <v/>
      </c>
      <c r="JN452" s="1805" t="str">
        <f t="shared" si="253"/>
        <v/>
      </c>
      <c r="JO452" s="1805" t="str">
        <f t="shared" si="254"/>
        <v/>
      </c>
      <c r="JP452" s="1805" t="str">
        <f t="shared" si="255"/>
        <v/>
      </c>
      <c r="JQ452" s="1805" t="str">
        <f t="shared" si="256"/>
        <v/>
      </c>
      <c r="JR452" s="1805" t="str">
        <f t="shared" si="257"/>
        <v/>
      </c>
      <c r="JS452" s="1805" t="str">
        <f t="shared" si="258"/>
        <v/>
      </c>
      <c r="JT452" s="1805" t="str">
        <f t="shared" si="259"/>
        <v/>
      </c>
      <c r="JU452" s="1805" t="str">
        <f t="shared" si="260"/>
        <v/>
      </c>
      <c r="JV452" s="1805" t="str">
        <f t="shared" si="261"/>
        <v/>
      </c>
      <c r="JW452" s="1805" t="str">
        <f t="shared" si="262"/>
        <v/>
      </c>
      <c r="JX452" s="1805" t="str">
        <f t="shared" si="263"/>
        <v/>
      </c>
      <c r="JY452" s="1805" t="str">
        <f t="shared" si="264"/>
        <v/>
      </c>
      <c r="JZ452" s="1805" t="str">
        <f t="shared" si="265"/>
        <v/>
      </c>
      <c r="KA452" s="1805" t="str">
        <f t="shared" si="266"/>
        <v/>
      </c>
      <c r="KB452" s="1805" t="str">
        <f t="shared" si="267"/>
        <v/>
      </c>
      <c r="KC452" s="1805" t="str">
        <f t="shared" si="268"/>
        <v/>
      </c>
      <c r="KD452" s="1805" t="str">
        <f t="shared" si="269"/>
        <v/>
      </c>
      <c r="KE452" s="1805" t="str">
        <f t="shared" si="270"/>
        <v/>
      </c>
      <c r="KF452" s="1805" t="str">
        <f t="shared" si="271"/>
        <v/>
      </c>
      <c r="KG452" s="1805" t="str">
        <f t="shared" si="272"/>
        <v/>
      </c>
      <c r="KH452" s="1805" t="str">
        <f t="shared" si="273"/>
        <v/>
      </c>
      <c r="KI452" s="1805" t="str">
        <f t="shared" si="274"/>
        <v/>
      </c>
      <c r="KJ452" s="1805" t="str">
        <f t="shared" si="275"/>
        <v/>
      </c>
      <c r="KK452" s="1805" t="str">
        <f t="shared" si="276"/>
        <v/>
      </c>
      <c r="KL452" s="1805" t="str">
        <f t="shared" si="277"/>
        <v/>
      </c>
      <c r="KM452" s="1805" t="str">
        <f t="shared" si="278"/>
        <v/>
      </c>
      <c r="KN452" s="1805" t="str">
        <f t="shared" si="279"/>
        <v/>
      </c>
      <c r="KO452" s="1805" t="str">
        <f t="shared" si="280"/>
        <v/>
      </c>
      <c r="KP452" s="1805" t="str">
        <f t="shared" si="281"/>
        <v/>
      </c>
      <c r="KQ452" s="1805" t="str">
        <f t="shared" si="282"/>
        <v/>
      </c>
      <c r="KR452" s="1805" t="str">
        <f t="shared" si="283"/>
        <v/>
      </c>
      <c r="KS452" s="1805" t="str">
        <f t="shared" si="284"/>
        <v/>
      </c>
      <c r="KT452" s="1805">
        <f t="shared" si="285"/>
        <v>8</v>
      </c>
      <c r="KU452" s="1805" t="str">
        <f t="shared" si="286"/>
        <v/>
      </c>
      <c r="KV452" s="1805" t="str">
        <f t="shared" si="287"/>
        <v/>
      </c>
      <c r="KW452" s="1805" t="str">
        <f t="shared" si="288"/>
        <v/>
      </c>
      <c r="KX452" s="1805" t="str">
        <f t="shared" si="289"/>
        <v/>
      </c>
      <c r="KY452" s="1805" t="str">
        <f t="shared" si="290"/>
        <v/>
      </c>
      <c r="KZ452" s="1805" t="str">
        <f t="shared" si="291"/>
        <v/>
      </c>
      <c r="LA452" s="1805" t="str">
        <f t="shared" si="292"/>
        <v/>
      </c>
      <c r="LB452" s="1805" t="str">
        <f t="shared" si="293"/>
        <v/>
      </c>
      <c r="LC452" s="1805" t="str">
        <f t="shared" si="294"/>
        <v/>
      </c>
      <c r="LD452" s="1805" t="str">
        <f t="shared" si="295"/>
        <v/>
      </c>
      <c r="LE452" s="1805" t="str">
        <f t="shared" si="296"/>
        <v/>
      </c>
      <c r="LF452" s="1805" t="str">
        <f t="shared" si="297"/>
        <v/>
      </c>
      <c r="LG452" s="1794" t="str">
        <f t="shared" si="298"/>
        <v/>
      </c>
      <c r="LH452" s="1794" t="str">
        <f t="shared" si="299"/>
        <v/>
      </c>
      <c r="LI452" s="1794" t="str">
        <f t="shared" si="300"/>
        <v/>
      </c>
      <c r="LJ452" s="1794" t="str">
        <f t="shared" si="301"/>
        <v/>
      </c>
      <c r="LK452" s="1794"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7">
        <f t="shared" si="323"/>
        <v>0</v>
      </c>
      <c r="MG452" s="1657">
        <f t="shared" si="324"/>
        <v>0</v>
      </c>
      <c r="MH452" s="1657">
        <f t="shared" si="325"/>
        <v>0</v>
      </c>
      <c r="MI452" s="1657">
        <f t="shared" si="326"/>
        <v>0</v>
      </c>
      <c r="MJ452" s="1657">
        <f t="shared" si="327"/>
        <v>0</v>
      </c>
      <c r="MK452" s="1657">
        <f t="shared" si="333"/>
        <v>0</v>
      </c>
      <c r="ML452" s="1657">
        <f t="shared" si="334"/>
        <v>0</v>
      </c>
      <c r="MM452" s="1657">
        <f t="shared" si="335"/>
        <v>8</v>
      </c>
      <c r="MN452" s="1657">
        <f t="shared" si="336"/>
        <v>0</v>
      </c>
      <c r="MO452" s="1657">
        <f t="shared" si="337"/>
        <v>0</v>
      </c>
      <c r="MP452" s="1657">
        <f t="shared" si="328"/>
        <v>0</v>
      </c>
      <c r="MQ452" s="1657">
        <f t="shared" si="329"/>
        <v>0</v>
      </c>
      <c r="MR452" s="1657">
        <f t="shared" si="330"/>
        <v>0</v>
      </c>
      <c r="MS452" s="1657">
        <f t="shared" si="331"/>
        <v>0</v>
      </c>
      <c r="MT452" s="1657">
        <f t="shared" si="332"/>
        <v>0</v>
      </c>
      <c r="NP452" s="356" t="s">
        <v>4307</v>
      </c>
    </row>
    <row r="453" spans="1:380" ht="13.9" customHeight="1">
      <c r="A453" s="2645" t="str">
        <f t="shared" si="0"/>
        <v/>
      </c>
      <c r="B453" s="2664" t="str">
        <f>'Part V-Revenues &amp; Expenses'!B15</f>
        <v>Unrestricted</v>
      </c>
      <c r="C453" s="2665">
        <f>'Part V-Revenues &amp; Expenses'!C15</f>
        <v>3</v>
      </c>
      <c r="D453" s="2666">
        <f>'Part V-Revenues &amp; Expenses'!D15</f>
        <v>2</v>
      </c>
      <c r="E453" s="2667">
        <f>'Part V-Revenues &amp; Expenses'!E15</f>
        <v>8</v>
      </c>
      <c r="F453" s="2667">
        <f>'Part V-Revenues &amp; Expenses'!F15</f>
        <v>1200</v>
      </c>
      <c r="G453" s="2667">
        <f>'Part V-Revenues &amp; Expenses'!G15</f>
        <v>0</v>
      </c>
      <c r="H453" s="2667">
        <f>'Part V-Revenues &amp; Expenses'!H15</f>
        <v>1600</v>
      </c>
      <c r="I453" s="2667">
        <f>'Part V-Revenues &amp; Expenses'!I15</f>
        <v>0</v>
      </c>
      <c r="J453" s="2667">
        <f>'Part V-Revenues &amp; Expenses'!J15</f>
        <v>0</v>
      </c>
      <c r="K453" s="2668">
        <f>'Part V-Revenues &amp; Expenses'!K15</f>
        <v>0</v>
      </c>
      <c r="L453" s="2669">
        <f t="shared" si="1"/>
        <v>1600</v>
      </c>
      <c r="M453" s="2669">
        <f t="shared" si="2"/>
        <v>12800</v>
      </c>
      <c r="N453" s="2538">
        <f>'Part V-Revenues &amp; Expenses'!N15</f>
        <v>0</v>
      </c>
      <c r="O453" s="1257" t="str">
        <f>'Part V-Revenues &amp; Expenses'!O15</f>
        <v>High-Rise Elevator</v>
      </c>
      <c r="P453" s="2538" t="str">
        <f>'Part V-Revenues &amp; Expenses'!P15</f>
        <v>New Construction</v>
      </c>
      <c r="Q453" s="1804" t="str">
        <f>'Part V-Revenues &amp; Expenses'!Q15</f>
        <v>No</v>
      </c>
      <c r="R453" s="2670"/>
      <c r="S453" s="2671"/>
      <c r="T453" s="2672"/>
      <c r="U453" s="2672"/>
      <c r="V453" s="2672"/>
      <c r="W453" s="2672"/>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f t="shared" si="41"/>
        <v>8</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f t="shared" si="156"/>
        <v>9600</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f t="shared" si="176"/>
        <v>8</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5" t="str">
        <f t="shared" si="213"/>
        <v/>
      </c>
      <c r="IA453" s="1805" t="str">
        <f t="shared" si="214"/>
        <v/>
      </c>
      <c r="IB453" s="1805" t="str">
        <f t="shared" si="215"/>
        <v/>
      </c>
      <c r="IC453" s="1805">
        <f t="shared" si="216"/>
        <v>8</v>
      </c>
      <c r="ID453" s="1805" t="str">
        <f t="shared" si="217"/>
        <v/>
      </c>
      <c r="IE453" s="1805" t="str">
        <f t="shared" si="218"/>
        <v/>
      </c>
      <c r="IF453" s="1805" t="str">
        <f t="shared" si="219"/>
        <v/>
      </c>
      <c r="IG453" s="1805" t="str">
        <f t="shared" si="220"/>
        <v/>
      </c>
      <c r="IH453" s="1805" t="str">
        <f t="shared" si="221"/>
        <v/>
      </c>
      <c r="II453" s="1805" t="str">
        <f t="shared" si="222"/>
        <v/>
      </c>
      <c r="IJ453" s="1805" t="str">
        <f t="shared" si="223"/>
        <v/>
      </c>
      <c r="IK453" s="1805" t="str">
        <f t="shared" si="224"/>
        <v/>
      </c>
      <c r="IL453" s="1805" t="str">
        <f t="shared" si="225"/>
        <v/>
      </c>
      <c r="IM453" s="1805" t="str">
        <f t="shared" si="226"/>
        <v/>
      </c>
      <c r="IN453" s="1805" t="str">
        <f t="shared" si="227"/>
        <v/>
      </c>
      <c r="IO453" s="1805" t="str">
        <f t="shared" si="228"/>
        <v/>
      </c>
      <c r="IP453" s="1805" t="str">
        <f t="shared" si="229"/>
        <v/>
      </c>
      <c r="IQ453" s="1805" t="str">
        <f t="shared" si="230"/>
        <v/>
      </c>
      <c r="IR453" s="1805" t="str">
        <f t="shared" si="231"/>
        <v/>
      </c>
      <c r="IS453" s="1805" t="str">
        <f t="shared" si="232"/>
        <v/>
      </c>
      <c r="IT453" s="1805" t="str">
        <f t="shared" si="233"/>
        <v/>
      </c>
      <c r="IU453" s="1805" t="str">
        <f t="shared" si="234"/>
        <v/>
      </c>
      <c r="IV453" s="1805" t="str">
        <f t="shared" si="235"/>
        <v/>
      </c>
      <c r="IW453" s="1805" t="str">
        <f t="shared" si="236"/>
        <v/>
      </c>
      <c r="IX453" s="1805" t="str">
        <f t="shared" si="237"/>
        <v/>
      </c>
      <c r="IY453" s="1805" t="str">
        <f t="shared" si="238"/>
        <v/>
      </c>
      <c r="IZ453" s="1805" t="str">
        <f t="shared" si="239"/>
        <v/>
      </c>
      <c r="JA453" s="1805" t="str">
        <f t="shared" si="240"/>
        <v/>
      </c>
      <c r="JB453" s="1805" t="str">
        <f t="shared" si="241"/>
        <v/>
      </c>
      <c r="JC453" s="1805" t="str">
        <f t="shared" si="242"/>
        <v/>
      </c>
      <c r="JD453" s="1805" t="str">
        <f t="shared" si="243"/>
        <v/>
      </c>
      <c r="JE453" s="1805" t="str">
        <f t="shared" si="244"/>
        <v/>
      </c>
      <c r="JF453" s="1805" t="str">
        <f t="shared" si="245"/>
        <v/>
      </c>
      <c r="JG453" s="1805" t="str">
        <f t="shared" si="246"/>
        <v/>
      </c>
      <c r="JH453" s="1805" t="str">
        <f t="shared" si="247"/>
        <v/>
      </c>
      <c r="JI453" s="1805" t="str">
        <f t="shared" si="248"/>
        <v/>
      </c>
      <c r="JJ453" s="1805" t="str">
        <f t="shared" si="249"/>
        <v/>
      </c>
      <c r="JK453" s="1805" t="str">
        <f t="shared" si="250"/>
        <v/>
      </c>
      <c r="JL453" s="1805" t="str">
        <f t="shared" si="251"/>
        <v/>
      </c>
      <c r="JM453" s="1805" t="str">
        <f t="shared" si="252"/>
        <v/>
      </c>
      <c r="JN453" s="1805" t="str">
        <f t="shared" si="253"/>
        <v/>
      </c>
      <c r="JO453" s="1805" t="str">
        <f t="shared" si="254"/>
        <v/>
      </c>
      <c r="JP453" s="1805" t="str">
        <f t="shared" si="255"/>
        <v/>
      </c>
      <c r="JQ453" s="1805" t="str">
        <f t="shared" si="256"/>
        <v/>
      </c>
      <c r="JR453" s="1805" t="str">
        <f t="shared" si="257"/>
        <v/>
      </c>
      <c r="JS453" s="1805" t="str">
        <f t="shared" si="258"/>
        <v/>
      </c>
      <c r="JT453" s="1805" t="str">
        <f t="shared" si="259"/>
        <v/>
      </c>
      <c r="JU453" s="1805" t="str">
        <f t="shared" si="260"/>
        <v/>
      </c>
      <c r="JV453" s="1805" t="str">
        <f t="shared" si="261"/>
        <v/>
      </c>
      <c r="JW453" s="1805" t="str">
        <f t="shared" si="262"/>
        <v/>
      </c>
      <c r="JX453" s="1805" t="str">
        <f t="shared" si="263"/>
        <v/>
      </c>
      <c r="JY453" s="1805" t="str">
        <f t="shared" si="264"/>
        <v/>
      </c>
      <c r="JZ453" s="1805" t="str">
        <f t="shared" si="265"/>
        <v/>
      </c>
      <c r="KA453" s="1805" t="str">
        <f t="shared" si="266"/>
        <v/>
      </c>
      <c r="KB453" s="1805" t="str">
        <f t="shared" si="267"/>
        <v/>
      </c>
      <c r="KC453" s="1805" t="str">
        <f t="shared" si="268"/>
        <v/>
      </c>
      <c r="KD453" s="1805" t="str">
        <f t="shared" si="269"/>
        <v/>
      </c>
      <c r="KE453" s="1805" t="str">
        <f t="shared" si="270"/>
        <v/>
      </c>
      <c r="KF453" s="1805" t="str">
        <f t="shared" si="271"/>
        <v/>
      </c>
      <c r="KG453" s="1805" t="str">
        <f t="shared" si="272"/>
        <v/>
      </c>
      <c r="KH453" s="1805" t="str">
        <f t="shared" si="273"/>
        <v/>
      </c>
      <c r="KI453" s="1805" t="str">
        <f t="shared" si="274"/>
        <v/>
      </c>
      <c r="KJ453" s="1805" t="str">
        <f t="shared" si="275"/>
        <v/>
      </c>
      <c r="KK453" s="1805" t="str">
        <f t="shared" si="276"/>
        <v/>
      </c>
      <c r="KL453" s="1805" t="str">
        <f t="shared" si="277"/>
        <v/>
      </c>
      <c r="KM453" s="1805" t="str">
        <f t="shared" si="278"/>
        <v/>
      </c>
      <c r="KN453" s="1805" t="str">
        <f t="shared" si="279"/>
        <v/>
      </c>
      <c r="KO453" s="1805" t="str">
        <f t="shared" si="280"/>
        <v/>
      </c>
      <c r="KP453" s="1805" t="str">
        <f t="shared" si="281"/>
        <v/>
      </c>
      <c r="KQ453" s="1805" t="str">
        <f t="shared" si="282"/>
        <v/>
      </c>
      <c r="KR453" s="1805" t="str">
        <f t="shared" si="283"/>
        <v/>
      </c>
      <c r="KS453" s="1805" t="str">
        <f t="shared" si="284"/>
        <v/>
      </c>
      <c r="KT453" s="1805" t="str">
        <f t="shared" si="285"/>
        <v/>
      </c>
      <c r="KU453" s="1805">
        <f t="shared" si="286"/>
        <v>8</v>
      </c>
      <c r="KV453" s="1805" t="str">
        <f t="shared" si="287"/>
        <v/>
      </c>
      <c r="KW453" s="1805" t="str">
        <f t="shared" si="288"/>
        <v/>
      </c>
      <c r="KX453" s="1805" t="str">
        <f t="shared" si="289"/>
        <v/>
      </c>
      <c r="KY453" s="1805" t="str">
        <f t="shared" si="290"/>
        <v/>
      </c>
      <c r="KZ453" s="1805" t="str">
        <f t="shared" si="291"/>
        <v/>
      </c>
      <c r="LA453" s="1805" t="str">
        <f t="shared" si="292"/>
        <v/>
      </c>
      <c r="LB453" s="1805" t="str">
        <f t="shared" si="293"/>
        <v/>
      </c>
      <c r="LC453" s="1805" t="str">
        <f t="shared" si="294"/>
        <v/>
      </c>
      <c r="LD453" s="1805" t="str">
        <f t="shared" si="295"/>
        <v/>
      </c>
      <c r="LE453" s="1805" t="str">
        <f t="shared" si="296"/>
        <v/>
      </c>
      <c r="LF453" s="1805" t="str">
        <f t="shared" si="297"/>
        <v/>
      </c>
      <c r="LG453" s="1794" t="str">
        <f t="shared" si="298"/>
        <v/>
      </c>
      <c r="LH453" s="1794" t="str">
        <f t="shared" si="299"/>
        <v/>
      </c>
      <c r="LI453" s="1794" t="str">
        <f t="shared" si="300"/>
        <v/>
      </c>
      <c r="LJ453" s="1794" t="str">
        <f t="shared" si="301"/>
        <v/>
      </c>
      <c r="LK453" s="1794"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7">
        <f t="shared" si="323"/>
        <v>0</v>
      </c>
      <c r="MG453" s="1657">
        <f t="shared" si="324"/>
        <v>0</v>
      </c>
      <c r="MH453" s="1657">
        <f t="shared" si="325"/>
        <v>0</v>
      </c>
      <c r="MI453" s="1657">
        <f t="shared" si="326"/>
        <v>0</v>
      </c>
      <c r="MJ453" s="1657">
        <f t="shared" si="327"/>
        <v>0</v>
      </c>
      <c r="MK453" s="1657">
        <f t="shared" si="333"/>
        <v>0</v>
      </c>
      <c r="ML453" s="1657">
        <f t="shared" si="334"/>
        <v>0</v>
      </c>
      <c r="MM453" s="1657">
        <f t="shared" si="335"/>
        <v>0</v>
      </c>
      <c r="MN453" s="1657">
        <f t="shared" si="336"/>
        <v>8</v>
      </c>
      <c r="MO453" s="1657">
        <f t="shared" si="337"/>
        <v>0</v>
      </c>
      <c r="MP453" s="1657">
        <f t="shared" si="328"/>
        <v>0</v>
      </c>
      <c r="MQ453" s="1657">
        <f t="shared" si="329"/>
        <v>0</v>
      </c>
      <c r="MR453" s="1657">
        <f t="shared" si="330"/>
        <v>0</v>
      </c>
      <c r="MS453" s="1657">
        <f t="shared" si="331"/>
        <v>0</v>
      </c>
      <c r="MT453" s="1657">
        <f t="shared" si="332"/>
        <v>0</v>
      </c>
      <c r="NP453" s="356" t="s">
        <v>4308</v>
      </c>
    </row>
    <row r="454" spans="1:380" ht="13.9" customHeight="1">
      <c r="A454" s="2645" t="str">
        <f t="shared" si="0"/>
        <v/>
      </c>
      <c r="B454" s="2664" t="str">
        <f>'Part V-Revenues &amp; Expenses'!B16</f>
        <v>Unrestricted</v>
      </c>
      <c r="C454" s="2665">
        <f>'Part V-Revenues &amp; Expenses'!C16</f>
        <v>0</v>
      </c>
      <c r="D454" s="2666">
        <f>'Part V-Revenues &amp; Expenses'!D16</f>
        <v>0</v>
      </c>
      <c r="E454" s="2667">
        <f>'Part V-Revenues &amp; Expenses'!E16</f>
        <v>0</v>
      </c>
      <c r="F454" s="2667">
        <f>'Part V-Revenues &amp; Expenses'!F16</f>
        <v>0</v>
      </c>
      <c r="G454" s="2667">
        <f>'Part V-Revenues &amp; Expenses'!G16</f>
        <v>0</v>
      </c>
      <c r="H454" s="2667">
        <f>'Part V-Revenues &amp; Expenses'!H16</f>
        <v>0</v>
      </c>
      <c r="I454" s="2667">
        <f>'Part V-Revenues &amp; Expenses'!I16</f>
        <v>0</v>
      </c>
      <c r="J454" s="2667">
        <f>'Part V-Revenues &amp; Expenses'!J16</f>
        <v>0</v>
      </c>
      <c r="K454" s="2668">
        <f>'Part V-Revenues &amp; Expenses'!K16</f>
        <v>0</v>
      </c>
      <c r="L454" s="2669">
        <f t="shared" si="1"/>
        <v>0</v>
      </c>
      <c r="M454" s="2669">
        <f t="shared" si="2"/>
        <v>0</v>
      </c>
      <c r="N454" s="2538">
        <f>'Part V-Revenues &amp; Expenses'!N16</f>
        <v>0</v>
      </c>
      <c r="O454" s="1257">
        <f>'Part V-Revenues &amp; Expenses'!O16</f>
        <v>0</v>
      </c>
      <c r="P454" s="2538">
        <f>'Part V-Revenues &amp; Expenses'!P16</f>
        <v>0</v>
      </c>
      <c r="Q454" s="1804">
        <f>'Part V-Revenues &amp; Expenses'!Q16</f>
        <v>0</v>
      </c>
      <c r="R454" s="2670"/>
      <c r="S454" s="2671"/>
      <c r="T454" s="2672"/>
      <c r="U454" s="2672"/>
      <c r="V454" s="2672"/>
      <c r="W454" s="2672"/>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5" t="str">
        <f t="shared" si="213"/>
        <v/>
      </c>
      <c r="IA454" s="1805" t="str">
        <f t="shared" si="214"/>
        <v/>
      </c>
      <c r="IB454" s="1805" t="str">
        <f t="shared" si="215"/>
        <v/>
      </c>
      <c r="IC454" s="1805" t="str">
        <f t="shared" si="216"/>
        <v/>
      </c>
      <c r="ID454" s="1805" t="str">
        <f t="shared" si="217"/>
        <v/>
      </c>
      <c r="IE454" s="1805" t="str">
        <f t="shared" si="218"/>
        <v/>
      </c>
      <c r="IF454" s="1805" t="str">
        <f t="shared" si="219"/>
        <v/>
      </c>
      <c r="IG454" s="1805" t="str">
        <f t="shared" si="220"/>
        <v/>
      </c>
      <c r="IH454" s="1805" t="str">
        <f t="shared" si="221"/>
        <v/>
      </c>
      <c r="II454" s="1805" t="str">
        <f t="shared" si="222"/>
        <v/>
      </c>
      <c r="IJ454" s="1805" t="str">
        <f t="shared" si="223"/>
        <v/>
      </c>
      <c r="IK454" s="1805" t="str">
        <f t="shared" si="224"/>
        <v/>
      </c>
      <c r="IL454" s="1805" t="str">
        <f t="shared" si="225"/>
        <v/>
      </c>
      <c r="IM454" s="1805" t="str">
        <f t="shared" si="226"/>
        <v/>
      </c>
      <c r="IN454" s="1805" t="str">
        <f t="shared" si="227"/>
        <v/>
      </c>
      <c r="IO454" s="1805" t="str">
        <f t="shared" si="228"/>
        <v/>
      </c>
      <c r="IP454" s="1805" t="str">
        <f t="shared" si="229"/>
        <v/>
      </c>
      <c r="IQ454" s="1805" t="str">
        <f t="shared" si="230"/>
        <v/>
      </c>
      <c r="IR454" s="1805" t="str">
        <f t="shared" si="231"/>
        <v/>
      </c>
      <c r="IS454" s="1805" t="str">
        <f t="shared" si="232"/>
        <v/>
      </c>
      <c r="IT454" s="1805" t="str">
        <f t="shared" si="233"/>
        <v/>
      </c>
      <c r="IU454" s="1805" t="str">
        <f t="shared" si="234"/>
        <v/>
      </c>
      <c r="IV454" s="1805" t="str">
        <f t="shared" si="235"/>
        <v/>
      </c>
      <c r="IW454" s="1805" t="str">
        <f t="shared" si="236"/>
        <v/>
      </c>
      <c r="IX454" s="1805" t="str">
        <f t="shared" si="237"/>
        <v/>
      </c>
      <c r="IY454" s="1805" t="str">
        <f t="shared" si="238"/>
        <v/>
      </c>
      <c r="IZ454" s="1805" t="str">
        <f t="shared" si="239"/>
        <v/>
      </c>
      <c r="JA454" s="1805" t="str">
        <f t="shared" si="240"/>
        <v/>
      </c>
      <c r="JB454" s="1805" t="str">
        <f t="shared" si="241"/>
        <v/>
      </c>
      <c r="JC454" s="1805" t="str">
        <f t="shared" si="242"/>
        <v/>
      </c>
      <c r="JD454" s="1805" t="str">
        <f t="shared" si="243"/>
        <v/>
      </c>
      <c r="JE454" s="1805" t="str">
        <f t="shared" si="244"/>
        <v/>
      </c>
      <c r="JF454" s="1805" t="str">
        <f t="shared" si="245"/>
        <v/>
      </c>
      <c r="JG454" s="1805" t="str">
        <f t="shared" si="246"/>
        <v/>
      </c>
      <c r="JH454" s="1805" t="str">
        <f t="shared" si="247"/>
        <v/>
      </c>
      <c r="JI454" s="1805" t="str">
        <f t="shared" si="248"/>
        <v/>
      </c>
      <c r="JJ454" s="1805" t="str">
        <f t="shared" si="249"/>
        <v/>
      </c>
      <c r="JK454" s="1805" t="str">
        <f t="shared" si="250"/>
        <v/>
      </c>
      <c r="JL454" s="1805" t="str">
        <f t="shared" si="251"/>
        <v/>
      </c>
      <c r="JM454" s="1805" t="str">
        <f t="shared" si="252"/>
        <v/>
      </c>
      <c r="JN454" s="1805" t="str">
        <f t="shared" si="253"/>
        <v/>
      </c>
      <c r="JO454" s="1805" t="str">
        <f t="shared" si="254"/>
        <v/>
      </c>
      <c r="JP454" s="1805" t="str">
        <f t="shared" si="255"/>
        <v/>
      </c>
      <c r="JQ454" s="1805" t="str">
        <f t="shared" si="256"/>
        <v/>
      </c>
      <c r="JR454" s="1805" t="str">
        <f t="shared" si="257"/>
        <v/>
      </c>
      <c r="JS454" s="1805" t="str">
        <f t="shared" si="258"/>
        <v/>
      </c>
      <c r="JT454" s="1805" t="str">
        <f t="shared" si="259"/>
        <v/>
      </c>
      <c r="JU454" s="1805" t="str">
        <f t="shared" si="260"/>
        <v/>
      </c>
      <c r="JV454" s="1805" t="str">
        <f t="shared" si="261"/>
        <v/>
      </c>
      <c r="JW454" s="1805" t="str">
        <f t="shared" si="262"/>
        <v/>
      </c>
      <c r="JX454" s="1805" t="str">
        <f t="shared" si="263"/>
        <v/>
      </c>
      <c r="JY454" s="1805" t="str">
        <f t="shared" si="264"/>
        <v/>
      </c>
      <c r="JZ454" s="1805" t="str">
        <f t="shared" si="265"/>
        <v/>
      </c>
      <c r="KA454" s="1805" t="str">
        <f t="shared" si="266"/>
        <v/>
      </c>
      <c r="KB454" s="1805" t="str">
        <f t="shared" si="267"/>
        <v/>
      </c>
      <c r="KC454" s="1805" t="str">
        <f t="shared" si="268"/>
        <v/>
      </c>
      <c r="KD454" s="1805" t="str">
        <f t="shared" si="269"/>
        <v/>
      </c>
      <c r="KE454" s="1805" t="str">
        <f t="shared" si="270"/>
        <v/>
      </c>
      <c r="KF454" s="1805" t="str">
        <f t="shared" si="271"/>
        <v/>
      </c>
      <c r="KG454" s="1805" t="str">
        <f t="shared" si="272"/>
        <v/>
      </c>
      <c r="KH454" s="1805" t="str">
        <f t="shared" si="273"/>
        <v/>
      </c>
      <c r="KI454" s="1805" t="str">
        <f t="shared" si="274"/>
        <v/>
      </c>
      <c r="KJ454" s="1805" t="str">
        <f t="shared" si="275"/>
        <v/>
      </c>
      <c r="KK454" s="1805" t="str">
        <f t="shared" si="276"/>
        <v/>
      </c>
      <c r="KL454" s="1805" t="str">
        <f t="shared" si="277"/>
        <v/>
      </c>
      <c r="KM454" s="1805" t="str">
        <f t="shared" si="278"/>
        <v/>
      </c>
      <c r="KN454" s="1805" t="str">
        <f t="shared" si="279"/>
        <v/>
      </c>
      <c r="KO454" s="1805" t="str">
        <f t="shared" si="280"/>
        <v/>
      </c>
      <c r="KP454" s="1805" t="str">
        <f t="shared" si="281"/>
        <v/>
      </c>
      <c r="KQ454" s="1805" t="str">
        <f t="shared" si="282"/>
        <v/>
      </c>
      <c r="KR454" s="1805" t="str">
        <f t="shared" si="283"/>
        <v/>
      </c>
      <c r="KS454" s="1805" t="str">
        <f t="shared" si="284"/>
        <v/>
      </c>
      <c r="KT454" s="1805" t="str">
        <f t="shared" si="285"/>
        <v/>
      </c>
      <c r="KU454" s="1805" t="str">
        <f t="shared" si="286"/>
        <v/>
      </c>
      <c r="KV454" s="1805" t="str">
        <f t="shared" si="287"/>
        <v/>
      </c>
      <c r="KW454" s="1805" t="str">
        <f t="shared" si="288"/>
        <v/>
      </c>
      <c r="KX454" s="1805" t="str">
        <f t="shared" si="289"/>
        <v/>
      </c>
      <c r="KY454" s="1805" t="str">
        <f t="shared" si="290"/>
        <v/>
      </c>
      <c r="KZ454" s="1805" t="str">
        <f t="shared" si="291"/>
        <v/>
      </c>
      <c r="LA454" s="1805" t="str">
        <f t="shared" si="292"/>
        <v/>
      </c>
      <c r="LB454" s="1805" t="str">
        <f t="shared" si="293"/>
        <v/>
      </c>
      <c r="LC454" s="1805" t="str">
        <f t="shared" si="294"/>
        <v/>
      </c>
      <c r="LD454" s="1805" t="str">
        <f t="shared" si="295"/>
        <v/>
      </c>
      <c r="LE454" s="1805" t="str">
        <f t="shared" si="296"/>
        <v/>
      </c>
      <c r="LF454" s="1805" t="str">
        <f t="shared" si="297"/>
        <v/>
      </c>
      <c r="LG454" s="1794" t="str">
        <f t="shared" si="298"/>
        <v/>
      </c>
      <c r="LH454" s="1794" t="str">
        <f t="shared" si="299"/>
        <v/>
      </c>
      <c r="LI454" s="1794" t="str">
        <f t="shared" si="300"/>
        <v/>
      </c>
      <c r="LJ454" s="1794" t="str">
        <f t="shared" si="301"/>
        <v/>
      </c>
      <c r="LK454" s="1794"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7">
        <f t="shared" si="323"/>
        <v>0</v>
      </c>
      <c r="MG454" s="1657">
        <f t="shared" si="324"/>
        <v>0</v>
      </c>
      <c r="MH454" s="1657">
        <f t="shared" si="325"/>
        <v>0</v>
      </c>
      <c r="MI454" s="1657">
        <f t="shared" si="326"/>
        <v>0</v>
      </c>
      <c r="MJ454" s="1657">
        <f t="shared" si="327"/>
        <v>0</v>
      </c>
      <c r="MK454" s="1657">
        <f t="shared" si="333"/>
        <v>0</v>
      </c>
      <c r="ML454" s="1657">
        <f t="shared" si="334"/>
        <v>0</v>
      </c>
      <c r="MM454" s="1657">
        <f t="shared" si="335"/>
        <v>0</v>
      </c>
      <c r="MN454" s="1657">
        <f t="shared" si="336"/>
        <v>0</v>
      </c>
      <c r="MO454" s="1657">
        <f t="shared" si="337"/>
        <v>0</v>
      </c>
      <c r="MP454" s="1657">
        <f t="shared" si="328"/>
        <v>0</v>
      </c>
      <c r="MQ454" s="1657">
        <f t="shared" si="329"/>
        <v>0</v>
      </c>
      <c r="MR454" s="1657">
        <f t="shared" si="330"/>
        <v>0</v>
      </c>
      <c r="MS454" s="1657">
        <f t="shared" si="331"/>
        <v>0</v>
      </c>
      <c r="MT454" s="1657">
        <f t="shared" si="332"/>
        <v>0</v>
      </c>
      <c r="NP454" s="356" t="s">
        <v>4309</v>
      </c>
    </row>
    <row r="455" spans="1:380" ht="13.9" customHeight="1">
      <c r="A455" s="2645" t="str">
        <f t="shared" si="0"/>
        <v/>
      </c>
      <c r="B455" s="2664" t="str">
        <f>'Part V-Revenues &amp; Expenses'!B17</f>
        <v>Unrestricted</v>
      </c>
      <c r="C455" s="2665">
        <f>'Part V-Revenues &amp; Expenses'!C17</f>
        <v>0</v>
      </c>
      <c r="D455" s="2666">
        <f>'Part V-Revenues &amp; Expenses'!D17</f>
        <v>0</v>
      </c>
      <c r="E455" s="2667">
        <f>'Part V-Revenues &amp; Expenses'!E17</f>
        <v>0</v>
      </c>
      <c r="F455" s="2667">
        <f>'Part V-Revenues &amp; Expenses'!F17</f>
        <v>0</v>
      </c>
      <c r="G455" s="2667">
        <f>'Part V-Revenues &amp; Expenses'!G17</f>
        <v>0</v>
      </c>
      <c r="H455" s="2667">
        <f>'Part V-Revenues &amp; Expenses'!H17</f>
        <v>0</v>
      </c>
      <c r="I455" s="2667">
        <f>'Part V-Revenues &amp; Expenses'!I17</f>
        <v>0</v>
      </c>
      <c r="J455" s="2667">
        <f>'Part V-Revenues &amp; Expenses'!J17</f>
        <v>0</v>
      </c>
      <c r="K455" s="2668">
        <f>'Part V-Revenues &amp; Expenses'!K17</f>
        <v>0</v>
      </c>
      <c r="L455" s="2669">
        <f t="shared" si="1"/>
        <v>0</v>
      </c>
      <c r="M455" s="2669">
        <f t="shared" si="2"/>
        <v>0</v>
      </c>
      <c r="N455" s="2538">
        <f>'Part V-Revenues &amp; Expenses'!N17</f>
        <v>0</v>
      </c>
      <c r="O455" s="1257">
        <f>'Part V-Revenues &amp; Expenses'!O17</f>
        <v>0</v>
      </c>
      <c r="P455" s="2538">
        <f>'Part V-Revenues &amp; Expenses'!P17</f>
        <v>0</v>
      </c>
      <c r="Q455" s="1804">
        <f>'Part V-Revenues &amp; Expenses'!Q17</f>
        <v>0</v>
      </c>
      <c r="R455" s="2670"/>
      <c r="S455" s="2671"/>
      <c r="T455" s="2672"/>
      <c r="U455" s="2672"/>
      <c r="V455" s="2672"/>
      <c r="W455" s="2672"/>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5" t="str">
        <f t="shared" si="213"/>
        <v/>
      </c>
      <c r="IA455" s="1805" t="str">
        <f t="shared" si="214"/>
        <v/>
      </c>
      <c r="IB455" s="1805" t="str">
        <f t="shared" si="215"/>
        <v/>
      </c>
      <c r="IC455" s="1805" t="str">
        <f t="shared" si="216"/>
        <v/>
      </c>
      <c r="ID455" s="1805" t="str">
        <f t="shared" si="217"/>
        <v/>
      </c>
      <c r="IE455" s="1805" t="str">
        <f t="shared" si="218"/>
        <v/>
      </c>
      <c r="IF455" s="1805" t="str">
        <f t="shared" si="219"/>
        <v/>
      </c>
      <c r="IG455" s="1805" t="str">
        <f t="shared" si="220"/>
        <v/>
      </c>
      <c r="IH455" s="1805" t="str">
        <f t="shared" si="221"/>
        <v/>
      </c>
      <c r="II455" s="1805" t="str">
        <f t="shared" si="222"/>
        <v/>
      </c>
      <c r="IJ455" s="1805" t="str">
        <f t="shared" si="223"/>
        <v/>
      </c>
      <c r="IK455" s="1805" t="str">
        <f t="shared" si="224"/>
        <v/>
      </c>
      <c r="IL455" s="1805" t="str">
        <f t="shared" si="225"/>
        <v/>
      </c>
      <c r="IM455" s="1805" t="str">
        <f t="shared" si="226"/>
        <v/>
      </c>
      <c r="IN455" s="1805" t="str">
        <f t="shared" si="227"/>
        <v/>
      </c>
      <c r="IO455" s="1805" t="str">
        <f t="shared" si="228"/>
        <v/>
      </c>
      <c r="IP455" s="1805" t="str">
        <f t="shared" si="229"/>
        <v/>
      </c>
      <c r="IQ455" s="1805" t="str">
        <f t="shared" si="230"/>
        <v/>
      </c>
      <c r="IR455" s="1805" t="str">
        <f t="shared" si="231"/>
        <v/>
      </c>
      <c r="IS455" s="1805" t="str">
        <f t="shared" si="232"/>
        <v/>
      </c>
      <c r="IT455" s="1805" t="str">
        <f t="shared" si="233"/>
        <v/>
      </c>
      <c r="IU455" s="1805" t="str">
        <f t="shared" si="234"/>
        <v/>
      </c>
      <c r="IV455" s="1805" t="str">
        <f t="shared" si="235"/>
        <v/>
      </c>
      <c r="IW455" s="1805" t="str">
        <f t="shared" si="236"/>
        <v/>
      </c>
      <c r="IX455" s="1805" t="str">
        <f t="shared" si="237"/>
        <v/>
      </c>
      <c r="IY455" s="1805" t="str">
        <f t="shared" si="238"/>
        <v/>
      </c>
      <c r="IZ455" s="1805" t="str">
        <f t="shared" si="239"/>
        <v/>
      </c>
      <c r="JA455" s="1805" t="str">
        <f t="shared" si="240"/>
        <v/>
      </c>
      <c r="JB455" s="1805" t="str">
        <f t="shared" si="241"/>
        <v/>
      </c>
      <c r="JC455" s="1805" t="str">
        <f t="shared" si="242"/>
        <v/>
      </c>
      <c r="JD455" s="1805" t="str">
        <f t="shared" si="243"/>
        <v/>
      </c>
      <c r="JE455" s="1805" t="str">
        <f t="shared" si="244"/>
        <v/>
      </c>
      <c r="JF455" s="1805" t="str">
        <f t="shared" si="245"/>
        <v/>
      </c>
      <c r="JG455" s="1805" t="str">
        <f t="shared" si="246"/>
        <v/>
      </c>
      <c r="JH455" s="1805" t="str">
        <f t="shared" si="247"/>
        <v/>
      </c>
      <c r="JI455" s="1805" t="str">
        <f t="shared" si="248"/>
        <v/>
      </c>
      <c r="JJ455" s="1805" t="str">
        <f t="shared" si="249"/>
        <v/>
      </c>
      <c r="JK455" s="1805" t="str">
        <f t="shared" si="250"/>
        <v/>
      </c>
      <c r="JL455" s="1805" t="str">
        <f t="shared" si="251"/>
        <v/>
      </c>
      <c r="JM455" s="1805" t="str">
        <f t="shared" si="252"/>
        <v/>
      </c>
      <c r="JN455" s="1805" t="str">
        <f t="shared" si="253"/>
        <v/>
      </c>
      <c r="JO455" s="1805" t="str">
        <f t="shared" si="254"/>
        <v/>
      </c>
      <c r="JP455" s="1805" t="str">
        <f t="shared" si="255"/>
        <v/>
      </c>
      <c r="JQ455" s="1805" t="str">
        <f t="shared" si="256"/>
        <v/>
      </c>
      <c r="JR455" s="1805" t="str">
        <f t="shared" si="257"/>
        <v/>
      </c>
      <c r="JS455" s="1805" t="str">
        <f t="shared" si="258"/>
        <v/>
      </c>
      <c r="JT455" s="1805" t="str">
        <f t="shared" si="259"/>
        <v/>
      </c>
      <c r="JU455" s="1805" t="str">
        <f t="shared" si="260"/>
        <v/>
      </c>
      <c r="JV455" s="1805" t="str">
        <f t="shared" si="261"/>
        <v/>
      </c>
      <c r="JW455" s="1805" t="str">
        <f t="shared" si="262"/>
        <v/>
      </c>
      <c r="JX455" s="1805" t="str">
        <f t="shared" si="263"/>
        <v/>
      </c>
      <c r="JY455" s="1805" t="str">
        <f t="shared" si="264"/>
        <v/>
      </c>
      <c r="JZ455" s="1805" t="str">
        <f t="shared" si="265"/>
        <v/>
      </c>
      <c r="KA455" s="1805" t="str">
        <f t="shared" si="266"/>
        <v/>
      </c>
      <c r="KB455" s="1805" t="str">
        <f t="shared" si="267"/>
        <v/>
      </c>
      <c r="KC455" s="1805" t="str">
        <f t="shared" si="268"/>
        <v/>
      </c>
      <c r="KD455" s="1805" t="str">
        <f t="shared" si="269"/>
        <v/>
      </c>
      <c r="KE455" s="1805" t="str">
        <f t="shared" si="270"/>
        <v/>
      </c>
      <c r="KF455" s="1805" t="str">
        <f t="shared" si="271"/>
        <v/>
      </c>
      <c r="KG455" s="1805" t="str">
        <f t="shared" si="272"/>
        <v/>
      </c>
      <c r="KH455" s="1805" t="str">
        <f t="shared" si="273"/>
        <v/>
      </c>
      <c r="KI455" s="1805" t="str">
        <f t="shared" si="274"/>
        <v/>
      </c>
      <c r="KJ455" s="1805" t="str">
        <f t="shared" si="275"/>
        <v/>
      </c>
      <c r="KK455" s="1805" t="str">
        <f t="shared" si="276"/>
        <v/>
      </c>
      <c r="KL455" s="1805" t="str">
        <f t="shared" si="277"/>
        <v/>
      </c>
      <c r="KM455" s="1805" t="str">
        <f t="shared" si="278"/>
        <v/>
      </c>
      <c r="KN455" s="1805" t="str">
        <f t="shared" si="279"/>
        <v/>
      </c>
      <c r="KO455" s="1805" t="str">
        <f t="shared" si="280"/>
        <v/>
      </c>
      <c r="KP455" s="1805" t="str">
        <f t="shared" si="281"/>
        <v/>
      </c>
      <c r="KQ455" s="1805" t="str">
        <f t="shared" si="282"/>
        <v/>
      </c>
      <c r="KR455" s="1805" t="str">
        <f t="shared" si="283"/>
        <v/>
      </c>
      <c r="KS455" s="1805" t="str">
        <f t="shared" si="284"/>
        <v/>
      </c>
      <c r="KT455" s="1805" t="str">
        <f t="shared" si="285"/>
        <v/>
      </c>
      <c r="KU455" s="1805" t="str">
        <f t="shared" si="286"/>
        <v/>
      </c>
      <c r="KV455" s="1805" t="str">
        <f t="shared" si="287"/>
        <v/>
      </c>
      <c r="KW455" s="1805" t="str">
        <f t="shared" si="288"/>
        <v/>
      </c>
      <c r="KX455" s="1805" t="str">
        <f t="shared" si="289"/>
        <v/>
      </c>
      <c r="KY455" s="1805" t="str">
        <f t="shared" si="290"/>
        <v/>
      </c>
      <c r="KZ455" s="1805" t="str">
        <f t="shared" si="291"/>
        <v/>
      </c>
      <c r="LA455" s="1805" t="str">
        <f t="shared" si="292"/>
        <v/>
      </c>
      <c r="LB455" s="1805" t="str">
        <f t="shared" si="293"/>
        <v/>
      </c>
      <c r="LC455" s="1805" t="str">
        <f t="shared" si="294"/>
        <v/>
      </c>
      <c r="LD455" s="1805" t="str">
        <f t="shared" si="295"/>
        <v/>
      </c>
      <c r="LE455" s="1805" t="str">
        <f t="shared" si="296"/>
        <v/>
      </c>
      <c r="LF455" s="1805" t="str">
        <f t="shared" si="297"/>
        <v/>
      </c>
      <c r="LG455" s="1794" t="str">
        <f t="shared" si="298"/>
        <v/>
      </c>
      <c r="LH455" s="1794" t="str">
        <f t="shared" si="299"/>
        <v/>
      </c>
      <c r="LI455" s="1794" t="str">
        <f t="shared" si="300"/>
        <v/>
      </c>
      <c r="LJ455" s="1794" t="str">
        <f t="shared" si="301"/>
        <v/>
      </c>
      <c r="LK455" s="1794"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7">
        <f t="shared" si="323"/>
        <v>0</v>
      </c>
      <c r="MG455" s="1657">
        <f t="shared" si="324"/>
        <v>0</v>
      </c>
      <c r="MH455" s="1657">
        <f t="shared" si="325"/>
        <v>0</v>
      </c>
      <c r="MI455" s="1657">
        <f t="shared" si="326"/>
        <v>0</v>
      </c>
      <c r="MJ455" s="1657">
        <f t="shared" si="327"/>
        <v>0</v>
      </c>
      <c r="MK455" s="1657">
        <f t="shared" si="333"/>
        <v>0</v>
      </c>
      <c r="ML455" s="1657">
        <f t="shared" si="334"/>
        <v>0</v>
      </c>
      <c r="MM455" s="1657">
        <f t="shared" si="335"/>
        <v>0</v>
      </c>
      <c r="MN455" s="1657">
        <f t="shared" si="336"/>
        <v>0</v>
      </c>
      <c r="MO455" s="1657">
        <f t="shared" si="337"/>
        <v>0</v>
      </c>
      <c r="MP455" s="1657">
        <f t="shared" si="328"/>
        <v>0</v>
      </c>
      <c r="MQ455" s="1657">
        <f t="shared" si="329"/>
        <v>0</v>
      </c>
      <c r="MR455" s="1657">
        <f t="shared" si="330"/>
        <v>0</v>
      </c>
      <c r="MS455" s="1657">
        <f t="shared" si="331"/>
        <v>0</v>
      </c>
      <c r="MT455" s="1657">
        <f t="shared" si="332"/>
        <v>0</v>
      </c>
      <c r="NP455" s="356" t="s">
        <v>4310</v>
      </c>
    </row>
    <row r="456" spans="1:380" ht="13.9" customHeight="1">
      <c r="A456" s="2645" t="str">
        <f t="shared" si="0"/>
        <v/>
      </c>
      <c r="B456" s="2664">
        <f>'Part V-Revenues &amp; Expenses'!B18</f>
        <v>50</v>
      </c>
      <c r="C456" s="2665">
        <f>'Part V-Revenues &amp; Expenses'!C18</f>
        <v>1</v>
      </c>
      <c r="D456" s="2666">
        <f>'Part V-Revenues &amp; Expenses'!D18</f>
        <v>1</v>
      </c>
      <c r="E456" s="2667">
        <f>'Part V-Revenues &amp; Expenses'!E18</f>
        <v>3</v>
      </c>
      <c r="F456" s="2667">
        <f>'Part V-Revenues &amp; Expenses'!F18</f>
        <v>700</v>
      </c>
      <c r="G456" s="2667">
        <f>'Part V-Revenues &amp; Expenses'!G18</f>
        <v>1008</v>
      </c>
      <c r="H456" s="2667">
        <f>'Part V-Revenues &amp; Expenses'!H18</f>
        <v>1008</v>
      </c>
      <c r="I456" s="2667">
        <f>'Part V-Revenues &amp; Expenses'!I18</f>
        <v>0</v>
      </c>
      <c r="J456" s="2667">
        <f>'Part V-Revenues &amp; Expenses'!J18</f>
        <v>118</v>
      </c>
      <c r="K456" s="2668">
        <f>'Part V-Revenues &amp; Expenses'!K18</f>
        <v>0</v>
      </c>
      <c r="L456" s="2669">
        <f t="shared" si="1"/>
        <v>890</v>
      </c>
      <c r="M456" s="2669">
        <f t="shared" si="2"/>
        <v>2670</v>
      </c>
      <c r="N456" s="2538">
        <f>'Part V-Revenues &amp; Expenses'!N18</f>
        <v>0</v>
      </c>
      <c r="O456" s="1257" t="str">
        <f>'Part V-Revenues &amp; Expenses'!O18</f>
        <v>High-Rise Elevator</v>
      </c>
      <c r="P456" s="2538" t="str">
        <f>'Part V-Revenues &amp; Expenses'!P18</f>
        <v>New Construction</v>
      </c>
      <c r="Q456" s="1804" t="str">
        <f>'Part V-Revenues &amp; Expenses'!Q18</f>
        <v>No</v>
      </c>
      <c r="R456" s="2670"/>
      <c r="S456" s="2671"/>
      <c r="T456" s="2672"/>
      <c r="U456" s="2672"/>
      <c r="V456" s="2672"/>
      <c r="W456" s="2672"/>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3</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2100</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3</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5" t="str">
        <f t="shared" si="213"/>
        <v/>
      </c>
      <c r="IA456" s="1805">
        <f t="shared" si="214"/>
        <v>3</v>
      </c>
      <c r="IB456" s="1805" t="str">
        <f t="shared" si="215"/>
        <v/>
      </c>
      <c r="IC456" s="1805" t="str">
        <f t="shared" si="216"/>
        <v/>
      </c>
      <c r="ID456" s="1805" t="str">
        <f t="shared" si="217"/>
        <v/>
      </c>
      <c r="IE456" s="1805" t="str">
        <f t="shared" si="218"/>
        <v/>
      </c>
      <c r="IF456" s="1805" t="str">
        <f t="shared" si="219"/>
        <v/>
      </c>
      <c r="IG456" s="1805" t="str">
        <f t="shared" si="220"/>
        <v/>
      </c>
      <c r="IH456" s="1805" t="str">
        <f t="shared" si="221"/>
        <v/>
      </c>
      <c r="II456" s="1805" t="str">
        <f t="shared" si="222"/>
        <v/>
      </c>
      <c r="IJ456" s="1805" t="str">
        <f t="shared" si="223"/>
        <v/>
      </c>
      <c r="IK456" s="1805" t="str">
        <f t="shared" si="224"/>
        <v/>
      </c>
      <c r="IL456" s="1805" t="str">
        <f t="shared" si="225"/>
        <v/>
      </c>
      <c r="IM456" s="1805" t="str">
        <f t="shared" si="226"/>
        <v/>
      </c>
      <c r="IN456" s="1805" t="str">
        <f t="shared" si="227"/>
        <v/>
      </c>
      <c r="IO456" s="1805" t="str">
        <f t="shared" si="228"/>
        <v/>
      </c>
      <c r="IP456" s="1805" t="str">
        <f t="shared" si="229"/>
        <v/>
      </c>
      <c r="IQ456" s="1805" t="str">
        <f t="shared" si="230"/>
        <v/>
      </c>
      <c r="IR456" s="1805" t="str">
        <f t="shared" si="231"/>
        <v/>
      </c>
      <c r="IS456" s="1805" t="str">
        <f t="shared" si="232"/>
        <v/>
      </c>
      <c r="IT456" s="1805" t="str">
        <f t="shared" si="233"/>
        <v/>
      </c>
      <c r="IU456" s="1805" t="str">
        <f t="shared" si="234"/>
        <v/>
      </c>
      <c r="IV456" s="1805" t="str">
        <f t="shared" si="235"/>
        <v/>
      </c>
      <c r="IW456" s="1805" t="str">
        <f t="shared" si="236"/>
        <v/>
      </c>
      <c r="IX456" s="1805" t="str">
        <f t="shared" si="237"/>
        <v/>
      </c>
      <c r="IY456" s="1805" t="str">
        <f t="shared" si="238"/>
        <v/>
      </c>
      <c r="IZ456" s="1805" t="str">
        <f t="shared" si="239"/>
        <v/>
      </c>
      <c r="JA456" s="1805" t="str">
        <f t="shared" si="240"/>
        <v/>
      </c>
      <c r="JB456" s="1805" t="str">
        <f t="shared" si="241"/>
        <v/>
      </c>
      <c r="JC456" s="1805" t="str">
        <f t="shared" si="242"/>
        <v/>
      </c>
      <c r="JD456" s="1805" t="str">
        <f t="shared" si="243"/>
        <v/>
      </c>
      <c r="JE456" s="1805" t="str">
        <f t="shared" si="244"/>
        <v/>
      </c>
      <c r="JF456" s="1805" t="str">
        <f t="shared" si="245"/>
        <v/>
      </c>
      <c r="JG456" s="1805" t="str">
        <f t="shared" si="246"/>
        <v/>
      </c>
      <c r="JH456" s="1805" t="str">
        <f t="shared" si="247"/>
        <v/>
      </c>
      <c r="JI456" s="1805" t="str">
        <f t="shared" si="248"/>
        <v/>
      </c>
      <c r="JJ456" s="1805" t="str">
        <f t="shared" si="249"/>
        <v/>
      </c>
      <c r="JK456" s="1805" t="str">
        <f t="shared" si="250"/>
        <v/>
      </c>
      <c r="JL456" s="1805" t="str">
        <f t="shared" si="251"/>
        <v/>
      </c>
      <c r="JM456" s="1805" t="str">
        <f t="shared" si="252"/>
        <v/>
      </c>
      <c r="JN456" s="1805" t="str">
        <f t="shared" si="253"/>
        <v/>
      </c>
      <c r="JO456" s="1805" t="str">
        <f t="shared" si="254"/>
        <v/>
      </c>
      <c r="JP456" s="1805" t="str">
        <f t="shared" si="255"/>
        <v/>
      </c>
      <c r="JQ456" s="1805" t="str">
        <f t="shared" si="256"/>
        <v/>
      </c>
      <c r="JR456" s="1805" t="str">
        <f t="shared" si="257"/>
        <v/>
      </c>
      <c r="JS456" s="1805" t="str">
        <f t="shared" si="258"/>
        <v/>
      </c>
      <c r="JT456" s="1805" t="str">
        <f t="shared" si="259"/>
        <v/>
      </c>
      <c r="JU456" s="1805" t="str">
        <f t="shared" si="260"/>
        <v/>
      </c>
      <c r="JV456" s="1805" t="str">
        <f t="shared" si="261"/>
        <v/>
      </c>
      <c r="JW456" s="1805" t="str">
        <f t="shared" si="262"/>
        <v/>
      </c>
      <c r="JX456" s="1805" t="str">
        <f t="shared" si="263"/>
        <v/>
      </c>
      <c r="JY456" s="1805" t="str">
        <f t="shared" si="264"/>
        <v/>
      </c>
      <c r="JZ456" s="1805" t="str">
        <f t="shared" si="265"/>
        <v/>
      </c>
      <c r="KA456" s="1805" t="str">
        <f t="shared" si="266"/>
        <v/>
      </c>
      <c r="KB456" s="1805" t="str">
        <f t="shared" si="267"/>
        <v/>
      </c>
      <c r="KC456" s="1805" t="str">
        <f t="shared" si="268"/>
        <v/>
      </c>
      <c r="KD456" s="1805" t="str">
        <f t="shared" si="269"/>
        <v/>
      </c>
      <c r="KE456" s="1805" t="str">
        <f t="shared" si="270"/>
        <v/>
      </c>
      <c r="KF456" s="1805" t="str">
        <f t="shared" si="271"/>
        <v/>
      </c>
      <c r="KG456" s="1805" t="str">
        <f t="shared" si="272"/>
        <v/>
      </c>
      <c r="KH456" s="1805" t="str">
        <f t="shared" si="273"/>
        <v/>
      </c>
      <c r="KI456" s="1805" t="str">
        <f t="shared" si="274"/>
        <v/>
      </c>
      <c r="KJ456" s="1805" t="str">
        <f t="shared" si="275"/>
        <v/>
      </c>
      <c r="KK456" s="1805" t="str">
        <f t="shared" si="276"/>
        <v/>
      </c>
      <c r="KL456" s="1805" t="str">
        <f t="shared" si="277"/>
        <v/>
      </c>
      <c r="KM456" s="1805" t="str">
        <f t="shared" si="278"/>
        <v/>
      </c>
      <c r="KN456" s="1805" t="str">
        <f t="shared" si="279"/>
        <v/>
      </c>
      <c r="KO456" s="1805" t="str">
        <f t="shared" si="280"/>
        <v/>
      </c>
      <c r="KP456" s="1805" t="str">
        <f t="shared" si="281"/>
        <v/>
      </c>
      <c r="KQ456" s="1805" t="str">
        <f t="shared" si="282"/>
        <v/>
      </c>
      <c r="KR456" s="1805" t="str">
        <f t="shared" si="283"/>
        <v/>
      </c>
      <c r="KS456" s="1805">
        <f t="shared" si="284"/>
        <v>3</v>
      </c>
      <c r="KT456" s="1805" t="str">
        <f t="shared" si="285"/>
        <v/>
      </c>
      <c r="KU456" s="1805" t="str">
        <f t="shared" si="286"/>
        <v/>
      </c>
      <c r="KV456" s="1805" t="str">
        <f t="shared" si="287"/>
        <v/>
      </c>
      <c r="KW456" s="1805" t="str">
        <f t="shared" si="288"/>
        <v/>
      </c>
      <c r="KX456" s="1805" t="str">
        <f t="shared" si="289"/>
        <v/>
      </c>
      <c r="KY456" s="1805" t="str">
        <f t="shared" si="290"/>
        <v/>
      </c>
      <c r="KZ456" s="1805" t="str">
        <f t="shared" si="291"/>
        <v/>
      </c>
      <c r="LA456" s="1805" t="str">
        <f t="shared" si="292"/>
        <v/>
      </c>
      <c r="LB456" s="1805" t="str">
        <f t="shared" si="293"/>
        <v/>
      </c>
      <c r="LC456" s="1805" t="str">
        <f t="shared" si="294"/>
        <v/>
      </c>
      <c r="LD456" s="1805" t="str">
        <f t="shared" si="295"/>
        <v/>
      </c>
      <c r="LE456" s="1805" t="str">
        <f t="shared" si="296"/>
        <v/>
      </c>
      <c r="LF456" s="1805" t="str">
        <f t="shared" si="297"/>
        <v/>
      </c>
      <c r="LG456" s="1794" t="str">
        <f t="shared" si="298"/>
        <v/>
      </c>
      <c r="LH456" s="1794" t="str">
        <f t="shared" si="299"/>
        <v/>
      </c>
      <c r="LI456" s="1794" t="str">
        <f t="shared" si="300"/>
        <v/>
      </c>
      <c r="LJ456" s="1794" t="str">
        <f t="shared" si="301"/>
        <v/>
      </c>
      <c r="LK456" s="1794"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7">
        <f t="shared" si="323"/>
        <v>0</v>
      </c>
      <c r="MG456" s="1657">
        <f t="shared" si="324"/>
        <v>0</v>
      </c>
      <c r="MH456" s="1657">
        <f t="shared" si="325"/>
        <v>0</v>
      </c>
      <c r="MI456" s="1657">
        <f t="shared" si="326"/>
        <v>0</v>
      </c>
      <c r="MJ456" s="1657">
        <f t="shared" si="327"/>
        <v>0</v>
      </c>
      <c r="MK456" s="1657">
        <f t="shared" si="333"/>
        <v>0</v>
      </c>
      <c r="ML456" s="1657">
        <f t="shared" si="334"/>
        <v>3</v>
      </c>
      <c r="MM456" s="1657">
        <f t="shared" si="335"/>
        <v>0</v>
      </c>
      <c r="MN456" s="1657">
        <f t="shared" si="336"/>
        <v>0</v>
      </c>
      <c r="MO456" s="1657">
        <f t="shared" si="337"/>
        <v>0</v>
      </c>
      <c r="MP456" s="1657">
        <f t="shared" si="328"/>
        <v>0</v>
      </c>
      <c r="MQ456" s="1657">
        <f t="shared" si="329"/>
        <v>0</v>
      </c>
      <c r="MR456" s="1657">
        <f t="shared" si="330"/>
        <v>0</v>
      </c>
      <c r="MS456" s="1657">
        <f t="shared" si="331"/>
        <v>0</v>
      </c>
      <c r="MT456" s="1657">
        <f t="shared" si="332"/>
        <v>0</v>
      </c>
      <c r="NP456" s="356" t="s">
        <v>4311</v>
      </c>
    </row>
    <row r="457" spans="1:380" ht="13.9" customHeight="1">
      <c r="A457" s="2645" t="str">
        <f t="shared" si="0"/>
        <v/>
      </c>
      <c r="B457" s="2664">
        <f>'Part V-Revenues &amp; Expenses'!B19</f>
        <v>50</v>
      </c>
      <c r="C457" s="2665">
        <f>'Part V-Revenues &amp; Expenses'!C19</f>
        <v>2</v>
      </c>
      <c r="D457" s="2666">
        <f>'Part V-Revenues &amp; Expenses'!D19</f>
        <v>2</v>
      </c>
      <c r="E457" s="2667">
        <f>'Part V-Revenues &amp; Expenses'!E19</f>
        <v>5</v>
      </c>
      <c r="F457" s="2667">
        <f>'Part V-Revenues &amp; Expenses'!F19</f>
        <v>900</v>
      </c>
      <c r="G457" s="2667">
        <f>'Part V-Revenues &amp; Expenses'!G19</f>
        <v>1210</v>
      </c>
      <c r="H457" s="2667">
        <f>'Part V-Revenues &amp; Expenses'!H19</f>
        <v>1208</v>
      </c>
      <c r="I457" s="2667">
        <f>'Part V-Revenues &amp; Expenses'!I19</f>
        <v>0</v>
      </c>
      <c r="J457" s="2667">
        <f>'Part V-Revenues &amp; Expenses'!J19</f>
        <v>148</v>
      </c>
      <c r="K457" s="2668">
        <f>'Part V-Revenues &amp; Expenses'!K19</f>
        <v>0</v>
      </c>
      <c r="L457" s="2669">
        <f t="shared" si="1"/>
        <v>1060</v>
      </c>
      <c r="M457" s="2669">
        <f t="shared" si="2"/>
        <v>5300</v>
      </c>
      <c r="N457" s="2538">
        <f>'Part V-Revenues &amp; Expenses'!N19</f>
        <v>0</v>
      </c>
      <c r="O457" s="1257" t="str">
        <f>'Part V-Revenues &amp; Expenses'!O19</f>
        <v>High-Rise Elevator</v>
      </c>
      <c r="P457" s="2538" t="str">
        <f>'Part V-Revenues &amp; Expenses'!P19</f>
        <v>New Construction</v>
      </c>
      <c r="Q457" s="1804" t="str">
        <f>'Part V-Revenues &amp; Expenses'!Q19</f>
        <v>No</v>
      </c>
      <c r="R457" s="2670"/>
      <c r="S457" s="2671"/>
      <c r="T457" s="2672"/>
      <c r="U457" s="2672"/>
      <c r="V457" s="2672"/>
      <c r="W457" s="2672"/>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f t="shared" si="20"/>
        <v>5</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f t="shared" si="135"/>
        <v>4500</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5</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5" t="str">
        <f t="shared" si="213"/>
        <v/>
      </c>
      <c r="IA457" s="1805" t="str">
        <f t="shared" si="214"/>
        <v/>
      </c>
      <c r="IB457" s="1805">
        <f t="shared" si="215"/>
        <v>5</v>
      </c>
      <c r="IC457" s="1805" t="str">
        <f t="shared" si="216"/>
        <v/>
      </c>
      <c r="ID457" s="1805" t="str">
        <f t="shared" si="217"/>
        <v/>
      </c>
      <c r="IE457" s="1805" t="str">
        <f t="shared" si="218"/>
        <v/>
      </c>
      <c r="IF457" s="1805" t="str">
        <f t="shared" si="219"/>
        <v/>
      </c>
      <c r="IG457" s="1805" t="str">
        <f t="shared" si="220"/>
        <v/>
      </c>
      <c r="IH457" s="1805" t="str">
        <f t="shared" si="221"/>
        <v/>
      </c>
      <c r="II457" s="1805" t="str">
        <f t="shared" si="222"/>
        <v/>
      </c>
      <c r="IJ457" s="1805" t="str">
        <f t="shared" si="223"/>
        <v/>
      </c>
      <c r="IK457" s="1805" t="str">
        <f t="shared" si="224"/>
        <v/>
      </c>
      <c r="IL457" s="1805" t="str">
        <f t="shared" si="225"/>
        <v/>
      </c>
      <c r="IM457" s="1805" t="str">
        <f t="shared" si="226"/>
        <v/>
      </c>
      <c r="IN457" s="1805" t="str">
        <f t="shared" si="227"/>
        <v/>
      </c>
      <c r="IO457" s="1805" t="str">
        <f t="shared" si="228"/>
        <v/>
      </c>
      <c r="IP457" s="1805" t="str">
        <f t="shared" si="229"/>
        <v/>
      </c>
      <c r="IQ457" s="1805" t="str">
        <f t="shared" si="230"/>
        <v/>
      </c>
      <c r="IR457" s="1805" t="str">
        <f t="shared" si="231"/>
        <v/>
      </c>
      <c r="IS457" s="1805" t="str">
        <f t="shared" si="232"/>
        <v/>
      </c>
      <c r="IT457" s="1805" t="str">
        <f t="shared" si="233"/>
        <v/>
      </c>
      <c r="IU457" s="1805" t="str">
        <f t="shared" si="234"/>
        <v/>
      </c>
      <c r="IV457" s="1805" t="str">
        <f t="shared" si="235"/>
        <v/>
      </c>
      <c r="IW457" s="1805" t="str">
        <f t="shared" si="236"/>
        <v/>
      </c>
      <c r="IX457" s="1805" t="str">
        <f t="shared" si="237"/>
        <v/>
      </c>
      <c r="IY457" s="1805" t="str">
        <f t="shared" si="238"/>
        <v/>
      </c>
      <c r="IZ457" s="1805" t="str">
        <f t="shared" si="239"/>
        <v/>
      </c>
      <c r="JA457" s="1805" t="str">
        <f t="shared" si="240"/>
        <v/>
      </c>
      <c r="JB457" s="1805" t="str">
        <f t="shared" si="241"/>
        <v/>
      </c>
      <c r="JC457" s="1805" t="str">
        <f t="shared" si="242"/>
        <v/>
      </c>
      <c r="JD457" s="1805" t="str">
        <f t="shared" si="243"/>
        <v/>
      </c>
      <c r="JE457" s="1805" t="str">
        <f t="shared" si="244"/>
        <v/>
      </c>
      <c r="JF457" s="1805" t="str">
        <f t="shared" si="245"/>
        <v/>
      </c>
      <c r="JG457" s="1805" t="str">
        <f t="shared" si="246"/>
        <v/>
      </c>
      <c r="JH457" s="1805" t="str">
        <f t="shared" si="247"/>
        <v/>
      </c>
      <c r="JI457" s="1805" t="str">
        <f t="shared" si="248"/>
        <v/>
      </c>
      <c r="JJ457" s="1805" t="str">
        <f t="shared" si="249"/>
        <v/>
      </c>
      <c r="JK457" s="1805" t="str">
        <f t="shared" si="250"/>
        <v/>
      </c>
      <c r="JL457" s="1805" t="str">
        <f t="shared" si="251"/>
        <v/>
      </c>
      <c r="JM457" s="1805" t="str">
        <f t="shared" si="252"/>
        <v/>
      </c>
      <c r="JN457" s="1805" t="str">
        <f t="shared" si="253"/>
        <v/>
      </c>
      <c r="JO457" s="1805" t="str">
        <f t="shared" si="254"/>
        <v/>
      </c>
      <c r="JP457" s="1805" t="str">
        <f t="shared" si="255"/>
        <v/>
      </c>
      <c r="JQ457" s="1805" t="str">
        <f t="shared" si="256"/>
        <v/>
      </c>
      <c r="JR457" s="1805" t="str">
        <f t="shared" si="257"/>
        <v/>
      </c>
      <c r="JS457" s="1805" t="str">
        <f t="shared" si="258"/>
        <v/>
      </c>
      <c r="JT457" s="1805" t="str">
        <f t="shared" si="259"/>
        <v/>
      </c>
      <c r="JU457" s="1805" t="str">
        <f t="shared" si="260"/>
        <v/>
      </c>
      <c r="JV457" s="1805" t="str">
        <f t="shared" si="261"/>
        <v/>
      </c>
      <c r="JW457" s="1805" t="str">
        <f t="shared" si="262"/>
        <v/>
      </c>
      <c r="JX457" s="1805" t="str">
        <f t="shared" si="263"/>
        <v/>
      </c>
      <c r="JY457" s="1805" t="str">
        <f t="shared" si="264"/>
        <v/>
      </c>
      <c r="JZ457" s="1805" t="str">
        <f t="shared" si="265"/>
        <v/>
      </c>
      <c r="KA457" s="1805" t="str">
        <f t="shared" si="266"/>
        <v/>
      </c>
      <c r="KB457" s="1805" t="str">
        <f t="shared" si="267"/>
        <v/>
      </c>
      <c r="KC457" s="1805" t="str">
        <f t="shared" si="268"/>
        <v/>
      </c>
      <c r="KD457" s="1805" t="str">
        <f t="shared" si="269"/>
        <v/>
      </c>
      <c r="KE457" s="1805" t="str">
        <f t="shared" si="270"/>
        <v/>
      </c>
      <c r="KF457" s="1805" t="str">
        <f t="shared" si="271"/>
        <v/>
      </c>
      <c r="KG457" s="1805" t="str">
        <f t="shared" si="272"/>
        <v/>
      </c>
      <c r="KH457" s="1805" t="str">
        <f t="shared" si="273"/>
        <v/>
      </c>
      <c r="KI457" s="1805" t="str">
        <f t="shared" si="274"/>
        <v/>
      </c>
      <c r="KJ457" s="1805" t="str">
        <f t="shared" si="275"/>
        <v/>
      </c>
      <c r="KK457" s="1805" t="str">
        <f t="shared" si="276"/>
        <v/>
      </c>
      <c r="KL457" s="1805" t="str">
        <f t="shared" si="277"/>
        <v/>
      </c>
      <c r="KM457" s="1805" t="str">
        <f t="shared" si="278"/>
        <v/>
      </c>
      <c r="KN457" s="1805" t="str">
        <f t="shared" si="279"/>
        <v/>
      </c>
      <c r="KO457" s="1805" t="str">
        <f t="shared" si="280"/>
        <v/>
      </c>
      <c r="KP457" s="1805" t="str">
        <f t="shared" si="281"/>
        <v/>
      </c>
      <c r="KQ457" s="1805" t="str">
        <f t="shared" si="282"/>
        <v/>
      </c>
      <c r="KR457" s="1805" t="str">
        <f t="shared" si="283"/>
        <v/>
      </c>
      <c r="KS457" s="1805" t="str">
        <f t="shared" si="284"/>
        <v/>
      </c>
      <c r="KT457" s="1805">
        <f t="shared" si="285"/>
        <v>5</v>
      </c>
      <c r="KU457" s="1805" t="str">
        <f t="shared" si="286"/>
        <v/>
      </c>
      <c r="KV457" s="1805" t="str">
        <f t="shared" si="287"/>
        <v/>
      </c>
      <c r="KW457" s="1805" t="str">
        <f t="shared" si="288"/>
        <v/>
      </c>
      <c r="KX457" s="1805" t="str">
        <f t="shared" si="289"/>
        <v/>
      </c>
      <c r="KY457" s="1805" t="str">
        <f t="shared" si="290"/>
        <v/>
      </c>
      <c r="KZ457" s="1805" t="str">
        <f t="shared" si="291"/>
        <v/>
      </c>
      <c r="LA457" s="1805" t="str">
        <f t="shared" si="292"/>
        <v/>
      </c>
      <c r="LB457" s="1805" t="str">
        <f t="shared" si="293"/>
        <v/>
      </c>
      <c r="LC457" s="1805" t="str">
        <f t="shared" si="294"/>
        <v/>
      </c>
      <c r="LD457" s="1805" t="str">
        <f t="shared" si="295"/>
        <v/>
      </c>
      <c r="LE457" s="1805" t="str">
        <f t="shared" si="296"/>
        <v/>
      </c>
      <c r="LF457" s="1805" t="str">
        <f t="shared" si="297"/>
        <v/>
      </c>
      <c r="LG457" s="1794" t="str">
        <f t="shared" si="298"/>
        <v/>
      </c>
      <c r="LH457" s="1794" t="str">
        <f t="shared" si="299"/>
        <v/>
      </c>
      <c r="LI457" s="1794" t="str">
        <f t="shared" si="300"/>
        <v/>
      </c>
      <c r="LJ457" s="1794" t="str">
        <f t="shared" si="301"/>
        <v/>
      </c>
      <c r="LK457" s="1794"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7">
        <f t="shared" si="323"/>
        <v>0</v>
      </c>
      <c r="MG457" s="1657">
        <f t="shared" si="324"/>
        <v>0</v>
      </c>
      <c r="MH457" s="1657">
        <f t="shared" si="325"/>
        <v>0</v>
      </c>
      <c r="MI457" s="1657">
        <f t="shared" si="326"/>
        <v>0</v>
      </c>
      <c r="MJ457" s="1657">
        <f t="shared" si="327"/>
        <v>0</v>
      </c>
      <c r="MK457" s="1657">
        <f t="shared" si="333"/>
        <v>0</v>
      </c>
      <c r="ML457" s="1657">
        <f t="shared" si="334"/>
        <v>0</v>
      </c>
      <c r="MM457" s="1657">
        <f t="shared" si="335"/>
        <v>5</v>
      </c>
      <c r="MN457" s="1657">
        <f t="shared" si="336"/>
        <v>0</v>
      </c>
      <c r="MO457" s="1657">
        <f t="shared" si="337"/>
        <v>0</v>
      </c>
      <c r="MP457" s="1657">
        <f t="shared" si="328"/>
        <v>0</v>
      </c>
      <c r="MQ457" s="1657">
        <f t="shared" si="329"/>
        <v>0</v>
      </c>
      <c r="MR457" s="1657">
        <f t="shared" si="330"/>
        <v>0</v>
      </c>
      <c r="MS457" s="1657">
        <f t="shared" si="331"/>
        <v>0</v>
      </c>
      <c r="MT457" s="1657">
        <f t="shared" si="332"/>
        <v>0</v>
      </c>
      <c r="NP457" s="356" t="s">
        <v>4312</v>
      </c>
    </row>
    <row r="458" spans="1:380" ht="13.9" customHeight="1">
      <c r="A458" s="2645" t="str">
        <f t="shared" si="0"/>
        <v/>
      </c>
      <c r="B458" s="2664">
        <f>'Part V-Revenues &amp; Expenses'!B20</f>
        <v>50</v>
      </c>
      <c r="C458" s="2665">
        <f>'Part V-Revenues &amp; Expenses'!C20</f>
        <v>3</v>
      </c>
      <c r="D458" s="2666">
        <f>'Part V-Revenues &amp; Expenses'!D20</f>
        <v>2</v>
      </c>
      <c r="E458" s="2667">
        <f>'Part V-Revenues &amp; Expenses'!E20</f>
        <v>5</v>
      </c>
      <c r="F458" s="2667">
        <f>'Part V-Revenues &amp; Expenses'!F20</f>
        <v>1200</v>
      </c>
      <c r="G458" s="2667">
        <f>'Part V-Revenues &amp; Expenses'!G20</f>
        <v>1397</v>
      </c>
      <c r="H458" s="2667">
        <f>'Part V-Revenues &amp; Expenses'!H20</f>
        <v>1394</v>
      </c>
      <c r="I458" s="2667">
        <f>'Part V-Revenues &amp; Expenses'!I20</f>
        <v>0</v>
      </c>
      <c r="J458" s="2667">
        <f>'Part V-Revenues &amp; Expenses'!J20</f>
        <v>184</v>
      </c>
      <c r="K458" s="2668">
        <f>'Part V-Revenues &amp; Expenses'!K20</f>
        <v>0</v>
      </c>
      <c r="L458" s="2669">
        <f t="shared" si="1"/>
        <v>1210</v>
      </c>
      <c r="M458" s="2669">
        <f t="shared" si="2"/>
        <v>6050</v>
      </c>
      <c r="N458" s="2538">
        <f>'Part V-Revenues &amp; Expenses'!N20</f>
        <v>0</v>
      </c>
      <c r="O458" s="1257" t="str">
        <f>'Part V-Revenues &amp; Expenses'!O20</f>
        <v>High-Rise Elevator</v>
      </c>
      <c r="P458" s="2538" t="str">
        <f>'Part V-Revenues &amp; Expenses'!P20</f>
        <v>New Construction</v>
      </c>
      <c r="Q458" s="1804" t="str">
        <f>'Part V-Revenues &amp; Expenses'!Q20</f>
        <v>No</v>
      </c>
      <c r="R458" s="2670"/>
      <c r="S458" s="2671"/>
      <c r="T458" s="2672"/>
      <c r="U458" s="2672"/>
      <c r="V458" s="2672"/>
      <c r="W458" s="2672"/>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f t="shared" si="21"/>
        <v>5</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f t="shared" si="136"/>
        <v>6000</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f t="shared" si="171"/>
        <v>5</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5" t="str">
        <f t="shared" si="213"/>
        <v/>
      </c>
      <c r="IA458" s="1805" t="str">
        <f t="shared" si="214"/>
        <v/>
      </c>
      <c r="IB458" s="1805" t="str">
        <f t="shared" si="215"/>
        <v/>
      </c>
      <c r="IC458" s="1805">
        <f t="shared" si="216"/>
        <v>5</v>
      </c>
      <c r="ID458" s="1805" t="str">
        <f t="shared" si="217"/>
        <v/>
      </c>
      <c r="IE458" s="1805" t="str">
        <f t="shared" si="218"/>
        <v/>
      </c>
      <c r="IF458" s="1805" t="str">
        <f t="shared" si="219"/>
        <v/>
      </c>
      <c r="IG458" s="1805" t="str">
        <f t="shared" si="220"/>
        <v/>
      </c>
      <c r="IH458" s="1805" t="str">
        <f t="shared" si="221"/>
        <v/>
      </c>
      <c r="II458" s="1805" t="str">
        <f t="shared" si="222"/>
        <v/>
      </c>
      <c r="IJ458" s="1805" t="str">
        <f t="shared" si="223"/>
        <v/>
      </c>
      <c r="IK458" s="1805" t="str">
        <f t="shared" si="224"/>
        <v/>
      </c>
      <c r="IL458" s="1805" t="str">
        <f t="shared" si="225"/>
        <v/>
      </c>
      <c r="IM458" s="1805" t="str">
        <f t="shared" si="226"/>
        <v/>
      </c>
      <c r="IN458" s="1805" t="str">
        <f t="shared" si="227"/>
        <v/>
      </c>
      <c r="IO458" s="1805" t="str">
        <f t="shared" si="228"/>
        <v/>
      </c>
      <c r="IP458" s="1805" t="str">
        <f t="shared" si="229"/>
        <v/>
      </c>
      <c r="IQ458" s="1805" t="str">
        <f t="shared" si="230"/>
        <v/>
      </c>
      <c r="IR458" s="1805" t="str">
        <f t="shared" si="231"/>
        <v/>
      </c>
      <c r="IS458" s="1805" t="str">
        <f t="shared" si="232"/>
        <v/>
      </c>
      <c r="IT458" s="1805" t="str">
        <f t="shared" si="233"/>
        <v/>
      </c>
      <c r="IU458" s="1805" t="str">
        <f t="shared" si="234"/>
        <v/>
      </c>
      <c r="IV458" s="1805" t="str">
        <f t="shared" si="235"/>
        <v/>
      </c>
      <c r="IW458" s="1805" t="str">
        <f t="shared" si="236"/>
        <v/>
      </c>
      <c r="IX458" s="1805" t="str">
        <f t="shared" si="237"/>
        <v/>
      </c>
      <c r="IY458" s="1805" t="str">
        <f t="shared" si="238"/>
        <v/>
      </c>
      <c r="IZ458" s="1805" t="str">
        <f t="shared" si="239"/>
        <v/>
      </c>
      <c r="JA458" s="1805" t="str">
        <f t="shared" si="240"/>
        <v/>
      </c>
      <c r="JB458" s="1805" t="str">
        <f t="shared" si="241"/>
        <v/>
      </c>
      <c r="JC458" s="1805" t="str">
        <f t="shared" si="242"/>
        <v/>
      </c>
      <c r="JD458" s="1805" t="str">
        <f t="shared" si="243"/>
        <v/>
      </c>
      <c r="JE458" s="1805" t="str">
        <f t="shared" si="244"/>
        <v/>
      </c>
      <c r="JF458" s="1805" t="str">
        <f t="shared" si="245"/>
        <v/>
      </c>
      <c r="JG458" s="1805" t="str">
        <f t="shared" si="246"/>
        <v/>
      </c>
      <c r="JH458" s="1805" t="str">
        <f t="shared" si="247"/>
        <v/>
      </c>
      <c r="JI458" s="1805" t="str">
        <f t="shared" si="248"/>
        <v/>
      </c>
      <c r="JJ458" s="1805" t="str">
        <f t="shared" si="249"/>
        <v/>
      </c>
      <c r="JK458" s="1805" t="str">
        <f t="shared" si="250"/>
        <v/>
      </c>
      <c r="JL458" s="1805" t="str">
        <f t="shared" si="251"/>
        <v/>
      </c>
      <c r="JM458" s="1805" t="str">
        <f t="shared" si="252"/>
        <v/>
      </c>
      <c r="JN458" s="1805" t="str">
        <f t="shared" si="253"/>
        <v/>
      </c>
      <c r="JO458" s="1805" t="str">
        <f t="shared" si="254"/>
        <v/>
      </c>
      <c r="JP458" s="1805" t="str">
        <f t="shared" si="255"/>
        <v/>
      </c>
      <c r="JQ458" s="1805" t="str">
        <f t="shared" si="256"/>
        <v/>
      </c>
      <c r="JR458" s="1805" t="str">
        <f t="shared" si="257"/>
        <v/>
      </c>
      <c r="JS458" s="1805" t="str">
        <f t="shared" si="258"/>
        <v/>
      </c>
      <c r="JT458" s="1805" t="str">
        <f t="shared" si="259"/>
        <v/>
      </c>
      <c r="JU458" s="1805" t="str">
        <f t="shared" si="260"/>
        <v/>
      </c>
      <c r="JV458" s="1805" t="str">
        <f t="shared" si="261"/>
        <v/>
      </c>
      <c r="JW458" s="1805" t="str">
        <f t="shared" si="262"/>
        <v/>
      </c>
      <c r="JX458" s="1805" t="str">
        <f t="shared" si="263"/>
        <v/>
      </c>
      <c r="JY458" s="1805" t="str">
        <f t="shared" si="264"/>
        <v/>
      </c>
      <c r="JZ458" s="1805" t="str">
        <f t="shared" si="265"/>
        <v/>
      </c>
      <c r="KA458" s="1805" t="str">
        <f t="shared" si="266"/>
        <v/>
      </c>
      <c r="KB458" s="1805" t="str">
        <f t="shared" si="267"/>
        <v/>
      </c>
      <c r="KC458" s="1805" t="str">
        <f t="shared" si="268"/>
        <v/>
      </c>
      <c r="KD458" s="1805" t="str">
        <f t="shared" si="269"/>
        <v/>
      </c>
      <c r="KE458" s="1805" t="str">
        <f t="shared" si="270"/>
        <v/>
      </c>
      <c r="KF458" s="1805" t="str">
        <f t="shared" si="271"/>
        <v/>
      </c>
      <c r="KG458" s="1805" t="str">
        <f t="shared" si="272"/>
        <v/>
      </c>
      <c r="KH458" s="1805" t="str">
        <f t="shared" si="273"/>
        <v/>
      </c>
      <c r="KI458" s="1805" t="str">
        <f t="shared" si="274"/>
        <v/>
      </c>
      <c r="KJ458" s="1805" t="str">
        <f t="shared" si="275"/>
        <v/>
      </c>
      <c r="KK458" s="1805" t="str">
        <f t="shared" si="276"/>
        <v/>
      </c>
      <c r="KL458" s="1805" t="str">
        <f t="shared" si="277"/>
        <v/>
      </c>
      <c r="KM458" s="1805" t="str">
        <f t="shared" si="278"/>
        <v/>
      </c>
      <c r="KN458" s="1805" t="str">
        <f t="shared" si="279"/>
        <v/>
      </c>
      <c r="KO458" s="1805" t="str">
        <f t="shared" si="280"/>
        <v/>
      </c>
      <c r="KP458" s="1805" t="str">
        <f t="shared" si="281"/>
        <v/>
      </c>
      <c r="KQ458" s="1805" t="str">
        <f t="shared" si="282"/>
        <v/>
      </c>
      <c r="KR458" s="1805" t="str">
        <f t="shared" si="283"/>
        <v/>
      </c>
      <c r="KS458" s="1805" t="str">
        <f t="shared" si="284"/>
        <v/>
      </c>
      <c r="KT458" s="1805" t="str">
        <f t="shared" si="285"/>
        <v/>
      </c>
      <c r="KU458" s="1805">
        <f t="shared" si="286"/>
        <v>5</v>
      </c>
      <c r="KV458" s="1805" t="str">
        <f t="shared" si="287"/>
        <v/>
      </c>
      <c r="KW458" s="1805" t="str">
        <f t="shared" si="288"/>
        <v/>
      </c>
      <c r="KX458" s="1805" t="str">
        <f t="shared" si="289"/>
        <v/>
      </c>
      <c r="KY458" s="1805" t="str">
        <f t="shared" si="290"/>
        <v/>
      </c>
      <c r="KZ458" s="1805" t="str">
        <f t="shared" si="291"/>
        <v/>
      </c>
      <c r="LA458" s="1805" t="str">
        <f t="shared" si="292"/>
        <v/>
      </c>
      <c r="LB458" s="1805" t="str">
        <f t="shared" si="293"/>
        <v/>
      </c>
      <c r="LC458" s="1805" t="str">
        <f t="shared" si="294"/>
        <v/>
      </c>
      <c r="LD458" s="1805" t="str">
        <f t="shared" si="295"/>
        <v/>
      </c>
      <c r="LE458" s="1805" t="str">
        <f t="shared" si="296"/>
        <v/>
      </c>
      <c r="LF458" s="1805" t="str">
        <f t="shared" si="297"/>
        <v/>
      </c>
      <c r="LG458" s="1794" t="str">
        <f t="shared" si="298"/>
        <v/>
      </c>
      <c r="LH458" s="1794" t="str">
        <f t="shared" si="299"/>
        <v/>
      </c>
      <c r="LI458" s="1794" t="str">
        <f t="shared" si="300"/>
        <v/>
      </c>
      <c r="LJ458" s="1794" t="str">
        <f t="shared" si="301"/>
        <v/>
      </c>
      <c r="LK458" s="1794"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7">
        <f t="shared" si="323"/>
        <v>0</v>
      </c>
      <c r="MG458" s="1657">
        <f t="shared" si="324"/>
        <v>0</v>
      </c>
      <c r="MH458" s="1657">
        <f t="shared" si="325"/>
        <v>0</v>
      </c>
      <c r="MI458" s="1657">
        <f t="shared" si="326"/>
        <v>0</v>
      </c>
      <c r="MJ458" s="1657">
        <f t="shared" si="327"/>
        <v>0</v>
      </c>
      <c r="MK458" s="1657">
        <f t="shared" si="333"/>
        <v>0</v>
      </c>
      <c r="ML458" s="1657">
        <f t="shared" si="334"/>
        <v>0</v>
      </c>
      <c r="MM458" s="1657">
        <f t="shared" si="335"/>
        <v>0</v>
      </c>
      <c r="MN458" s="1657">
        <f t="shared" si="336"/>
        <v>5</v>
      </c>
      <c r="MO458" s="1657">
        <f t="shared" si="337"/>
        <v>0</v>
      </c>
      <c r="MP458" s="1657">
        <f t="shared" si="328"/>
        <v>0</v>
      </c>
      <c r="MQ458" s="1657">
        <f t="shared" si="329"/>
        <v>0</v>
      </c>
      <c r="MR458" s="1657">
        <f t="shared" si="330"/>
        <v>0</v>
      </c>
      <c r="MS458" s="1657">
        <f t="shared" si="331"/>
        <v>0</v>
      </c>
      <c r="MT458" s="1657">
        <f t="shared" si="332"/>
        <v>0</v>
      </c>
      <c r="NP458" s="356" t="s">
        <v>4313</v>
      </c>
    </row>
    <row r="459" spans="1:380" ht="13.9" customHeight="1">
      <c r="A459" s="2645" t="str">
        <f t="shared" si="0"/>
        <v/>
      </c>
      <c r="B459" s="2664">
        <f>'Part V-Revenues &amp; Expenses'!B21</f>
        <v>60</v>
      </c>
      <c r="C459" s="2665">
        <f>'Part V-Revenues &amp; Expenses'!C21</f>
        <v>1</v>
      </c>
      <c r="D459" s="2666">
        <f>'Part V-Revenues &amp; Expenses'!D21</f>
        <v>1</v>
      </c>
      <c r="E459" s="2667">
        <f>'Part V-Revenues &amp; Expenses'!E21</f>
        <v>9</v>
      </c>
      <c r="F459" s="2667">
        <f>'Part V-Revenues &amp; Expenses'!F21</f>
        <v>700</v>
      </c>
      <c r="G459" s="2667">
        <f>'Part V-Revenues &amp; Expenses'!G21</f>
        <v>1209</v>
      </c>
      <c r="H459" s="2667">
        <f>'Part V-Revenues &amp; Expenses'!H21</f>
        <v>1168</v>
      </c>
      <c r="I459" s="2667">
        <f>'Part V-Revenues &amp; Expenses'!I21</f>
        <v>0</v>
      </c>
      <c r="J459" s="2667">
        <f>'Part V-Revenues &amp; Expenses'!J21</f>
        <v>118</v>
      </c>
      <c r="K459" s="2668">
        <f>'Part V-Revenues &amp; Expenses'!K21</f>
        <v>0</v>
      </c>
      <c r="L459" s="2669">
        <f t="shared" si="1"/>
        <v>1050</v>
      </c>
      <c r="M459" s="2669">
        <f t="shared" si="2"/>
        <v>9450</v>
      </c>
      <c r="N459" s="2538">
        <f>'Part V-Revenues &amp; Expenses'!N21</f>
        <v>0</v>
      </c>
      <c r="O459" s="1257" t="str">
        <f>'Part V-Revenues &amp; Expenses'!O21</f>
        <v>High-Rise Elevator</v>
      </c>
      <c r="P459" s="2538" t="str">
        <f>'Part V-Revenues &amp; Expenses'!P21</f>
        <v>New Construction</v>
      </c>
      <c r="Q459" s="1804" t="str">
        <f>'Part V-Revenues &amp; Expenses'!Q21</f>
        <v>No</v>
      </c>
      <c r="R459" s="2670"/>
      <c r="S459" s="2671"/>
      <c r="T459" s="2672"/>
      <c r="U459" s="2672"/>
      <c r="V459" s="2672"/>
      <c r="W459" s="2672"/>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f t="shared" si="14"/>
        <v>9</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f t="shared" si="129"/>
        <v>6300</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f t="shared" si="169"/>
        <v>9</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5" t="str">
        <f t="shared" si="213"/>
        <v/>
      </c>
      <c r="IA459" s="1805">
        <f t="shared" si="214"/>
        <v>9</v>
      </c>
      <c r="IB459" s="1805" t="str">
        <f t="shared" si="215"/>
        <v/>
      </c>
      <c r="IC459" s="1805" t="str">
        <f t="shared" si="216"/>
        <v/>
      </c>
      <c r="ID459" s="1805" t="str">
        <f t="shared" si="217"/>
        <v/>
      </c>
      <c r="IE459" s="1805" t="str">
        <f t="shared" si="218"/>
        <v/>
      </c>
      <c r="IF459" s="1805" t="str">
        <f t="shared" si="219"/>
        <v/>
      </c>
      <c r="IG459" s="1805" t="str">
        <f t="shared" si="220"/>
        <v/>
      </c>
      <c r="IH459" s="1805" t="str">
        <f t="shared" si="221"/>
        <v/>
      </c>
      <c r="II459" s="1805" t="str">
        <f t="shared" si="222"/>
        <v/>
      </c>
      <c r="IJ459" s="1805" t="str">
        <f t="shared" si="223"/>
        <v/>
      </c>
      <c r="IK459" s="1805" t="str">
        <f t="shared" si="224"/>
        <v/>
      </c>
      <c r="IL459" s="1805" t="str">
        <f t="shared" si="225"/>
        <v/>
      </c>
      <c r="IM459" s="1805" t="str">
        <f t="shared" si="226"/>
        <v/>
      </c>
      <c r="IN459" s="1805" t="str">
        <f t="shared" si="227"/>
        <v/>
      </c>
      <c r="IO459" s="1805" t="str">
        <f t="shared" si="228"/>
        <v/>
      </c>
      <c r="IP459" s="1805" t="str">
        <f t="shared" si="229"/>
        <v/>
      </c>
      <c r="IQ459" s="1805" t="str">
        <f t="shared" si="230"/>
        <v/>
      </c>
      <c r="IR459" s="1805" t="str">
        <f t="shared" si="231"/>
        <v/>
      </c>
      <c r="IS459" s="1805" t="str">
        <f t="shared" si="232"/>
        <v/>
      </c>
      <c r="IT459" s="1805" t="str">
        <f t="shared" si="233"/>
        <v/>
      </c>
      <c r="IU459" s="1805" t="str">
        <f t="shared" si="234"/>
        <v/>
      </c>
      <c r="IV459" s="1805" t="str">
        <f t="shared" si="235"/>
        <v/>
      </c>
      <c r="IW459" s="1805" t="str">
        <f t="shared" si="236"/>
        <v/>
      </c>
      <c r="IX459" s="1805" t="str">
        <f t="shared" si="237"/>
        <v/>
      </c>
      <c r="IY459" s="1805" t="str">
        <f t="shared" si="238"/>
        <v/>
      </c>
      <c r="IZ459" s="1805" t="str">
        <f t="shared" si="239"/>
        <v/>
      </c>
      <c r="JA459" s="1805" t="str">
        <f t="shared" si="240"/>
        <v/>
      </c>
      <c r="JB459" s="1805" t="str">
        <f t="shared" si="241"/>
        <v/>
      </c>
      <c r="JC459" s="1805" t="str">
        <f t="shared" si="242"/>
        <v/>
      </c>
      <c r="JD459" s="1805" t="str">
        <f t="shared" si="243"/>
        <v/>
      </c>
      <c r="JE459" s="1805" t="str">
        <f t="shared" si="244"/>
        <v/>
      </c>
      <c r="JF459" s="1805" t="str">
        <f t="shared" si="245"/>
        <v/>
      </c>
      <c r="JG459" s="1805" t="str">
        <f t="shared" si="246"/>
        <v/>
      </c>
      <c r="JH459" s="1805" t="str">
        <f t="shared" si="247"/>
        <v/>
      </c>
      <c r="JI459" s="1805" t="str">
        <f t="shared" si="248"/>
        <v/>
      </c>
      <c r="JJ459" s="1805" t="str">
        <f t="shared" si="249"/>
        <v/>
      </c>
      <c r="JK459" s="1805" t="str">
        <f t="shared" si="250"/>
        <v/>
      </c>
      <c r="JL459" s="1805" t="str">
        <f t="shared" si="251"/>
        <v/>
      </c>
      <c r="JM459" s="1805" t="str">
        <f t="shared" si="252"/>
        <v/>
      </c>
      <c r="JN459" s="1805" t="str">
        <f t="shared" si="253"/>
        <v/>
      </c>
      <c r="JO459" s="1805" t="str">
        <f t="shared" si="254"/>
        <v/>
      </c>
      <c r="JP459" s="1805" t="str">
        <f t="shared" si="255"/>
        <v/>
      </c>
      <c r="JQ459" s="1805" t="str">
        <f t="shared" si="256"/>
        <v/>
      </c>
      <c r="JR459" s="1805" t="str">
        <f t="shared" si="257"/>
        <v/>
      </c>
      <c r="JS459" s="1805" t="str">
        <f t="shared" si="258"/>
        <v/>
      </c>
      <c r="JT459" s="1805" t="str">
        <f t="shared" si="259"/>
        <v/>
      </c>
      <c r="JU459" s="1805" t="str">
        <f t="shared" si="260"/>
        <v/>
      </c>
      <c r="JV459" s="1805" t="str">
        <f t="shared" si="261"/>
        <v/>
      </c>
      <c r="JW459" s="1805" t="str">
        <f t="shared" si="262"/>
        <v/>
      </c>
      <c r="JX459" s="1805" t="str">
        <f t="shared" si="263"/>
        <v/>
      </c>
      <c r="JY459" s="1805" t="str">
        <f t="shared" si="264"/>
        <v/>
      </c>
      <c r="JZ459" s="1805" t="str">
        <f t="shared" si="265"/>
        <v/>
      </c>
      <c r="KA459" s="1805" t="str">
        <f t="shared" si="266"/>
        <v/>
      </c>
      <c r="KB459" s="1805" t="str">
        <f t="shared" si="267"/>
        <v/>
      </c>
      <c r="KC459" s="1805" t="str">
        <f t="shared" si="268"/>
        <v/>
      </c>
      <c r="KD459" s="1805" t="str">
        <f t="shared" si="269"/>
        <v/>
      </c>
      <c r="KE459" s="1805" t="str">
        <f t="shared" si="270"/>
        <v/>
      </c>
      <c r="KF459" s="1805" t="str">
        <f t="shared" si="271"/>
        <v/>
      </c>
      <c r="KG459" s="1805" t="str">
        <f t="shared" si="272"/>
        <v/>
      </c>
      <c r="KH459" s="1805" t="str">
        <f t="shared" si="273"/>
        <v/>
      </c>
      <c r="KI459" s="1805" t="str">
        <f t="shared" si="274"/>
        <v/>
      </c>
      <c r="KJ459" s="1805" t="str">
        <f t="shared" si="275"/>
        <v/>
      </c>
      <c r="KK459" s="1805" t="str">
        <f t="shared" si="276"/>
        <v/>
      </c>
      <c r="KL459" s="1805" t="str">
        <f t="shared" si="277"/>
        <v/>
      </c>
      <c r="KM459" s="1805" t="str">
        <f t="shared" si="278"/>
        <v/>
      </c>
      <c r="KN459" s="1805" t="str">
        <f t="shared" si="279"/>
        <v/>
      </c>
      <c r="KO459" s="1805" t="str">
        <f t="shared" si="280"/>
        <v/>
      </c>
      <c r="KP459" s="1805" t="str">
        <f t="shared" si="281"/>
        <v/>
      </c>
      <c r="KQ459" s="1805" t="str">
        <f t="shared" si="282"/>
        <v/>
      </c>
      <c r="KR459" s="1805" t="str">
        <f t="shared" si="283"/>
        <v/>
      </c>
      <c r="KS459" s="1805">
        <f t="shared" si="284"/>
        <v>9</v>
      </c>
      <c r="KT459" s="1805" t="str">
        <f t="shared" si="285"/>
        <v/>
      </c>
      <c r="KU459" s="1805" t="str">
        <f t="shared" si="286"/>
        <v/>
      </c>
      <c r="KV459" s="1805" t="str">
        <f t="shared" si="287"/>
        <v/>
      </c>
      <c r="KW459" s="1805" t="str">
        <f t="shared" si="288"/>
        <v/>
      </c>
      <c r="KX459" s="1805" t="str">
        <f t="shared" si="289"/>
        <v/>
      </c>
      <c r="KY459" s="1805" t="str">
        <f t="shared" si="290"/>
        <v/>
      </c>
      <c r="KZ459" s="1805" t="str">
        <f t="shared" si="291"/>
        <v/>
      </c>
      <c r="LA459" s="1805" t="str">
        <f t="shared" si="292"/>
        <v/>
      </c>
      <c r="LB459" s="1805" t="str">
        <f t="shared" si="293"/>
        <v/>
      </c>
      <c r="LC459" s="1805" t="str">
        <f t="shared" si="294"/>
        <v/>
      </c>
      <c r="LD459" s="1805" t="str">
        <f t="shared" si="295"/>
        <v/>
      </c>
      <c r="LE459" s="1805" t="str">
        <f t="shared" si="296"/>
        <v/>
      </c>
      <c r="LF459" s="1805" t="str">
        <f t="shared" si="297"/>
        <v/>
      </c>
      <c r="LG459" s="1794" t="str">
        <f t="shared" si="298"/>
        <v/>
      </c>
      <c r="LH459" s="1794" t="str">
        <f t="shared" si="299"/>
        <v/>
      </c>
      <c r="LI459" s="1794" t="str">
        <f t="shared" si="300"/>
        <v/>
      </c>
      <c r="LJ459" s="1794" t="str">
        <f t="shared" si="301"/>
        <v/>
      </c>
      <c r="LK459" s="1794"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7">
        <f t="shared" si="323"/>
        <v>0</v>
      </c>
      <c r="MG459" s="1657">
        <f t="shared" si="324"/>
        <v>0</v>
      </c>
      <c r="MH459" s="1657">
        <f t="shared" si="325"/>
        <v>0</v>
      </c>
      <c r="MI459" s="1657">
        <f t="shared" si="326"/>
        <v>0</v>
      </c>
      <c r="MJ459" s="1657">
        <f t="shared" si="327"/>
        <v>0</v>
      </c>
      <c r="MK459" s="1657">
        <f t="shared" si="333"/>
        <v>0</v>
      </c>
      <c r="ML459" s="1657">
        <f t="shared" si="334"/>
        <v>9</v>
      </c>
      <c r="MM459" s="1657">
        <f t="shared" si="335"/>
        <v>0</v>
      </c>
      <c r="MN459" s="1657">
        <f t="shared" si="336"/>
        <v>0</v>
      </c>
      <c r="MO459" s="1657">
        <f t="shared" si="337"/>
        <v>0</v>
      </c>
      <c r="MP459" s="1657">
        <f t="shared" si="328"/>
        <v>0</v>
      </c>
      <c r="MQ459" s="1657">
        <f t="shared" si="329"/>
        <v>0</v>
      </c>
      <c r="MR459" s="1657">
        <f t="shared" si="330"/>
        <v>0</v>
      </c>
      <c r="MS459" s="1657">
        <f t="shared" si="331"/>
        <v>0</v>
      </c>
      <c r="MT459" s="1657">
        <f t="shared" si="332"/>
        <v>0</v>
      </c>
      <c r="NP459" s="356" t="s">
        <v>4314</v>
      </c>
    </row>
    <row r="460" spans="1:380" ht="13.9" customHeight="1">
      <c r="A460" s="2645" t="str">
        <f t="shared" si="0"/>
        <v/>
      </c>
      <c r="B460" s="2664">
        <f>'Part V-Revenues &amp; Expenses'!B22</f>
        <v>60</v>
      </c>
      <c r="C460" s="2665">
        <f>'Part V-Revenues &amp; Expenses'!C22</f>
        <v>2</v>
      </c>
      <c r="D460" s="2666">
        <f>'Part V-Revenues &amp; Expenses'!D22</f>
        <v>2</v>
      </c>
      <c r="E460" s="2667">
        <f>'Part V-Revenues &amp; Expenses'!E22</f>
        <v>19</v>
      </c>
      <c r="F460" s="2667">
        <f>'Part V-Revenues &amp; Expenses'!F22</f>
        <v>900</v>
      </c>
      <c r="G460" s="2667">
        <f>'Part V-Revenues &amp; Expenses'!G22</f>
        <v>1452</v>
      </c>
      <c r="H460" s="2667">
        <f>'Part V-Revenues &amp; Expenses'!H22</f>
        <v>1398</v>
      </c>
      <c r="I460" s="2667">
        <f>'Part V-Revenues &amp; Expenses'!I22</f>
        <v>0</v>
      </c>
      <c r="J460" s="2667">
        <f>'Part V-Revenues &amp; Expenses'!J22</f>
        <v>148</v>
      </c>
      <c r="K460" s="2668">
        <f>'Part V-Revenues &amp; Expenses'!K22</f>
        <v>0</v>
      </c>
      <c r="L460" s="2669">
        <f t="shared" si="1"/>
        <v>1250</v>
      </c>
      <c r="M460" s="2669">
        <f t="shared" si="2"/>
        <v>23750</v>
      </c>
      <c r="N460" s="2538">
        <f>'Part V-Revenues &amp; Expenses'!N22</f>
        <v>0</v>
      </c>
      <c r="O460" s="1257" t="str">
        <f>'Part V-Revenues &amp; Expenses'!O22</f>
        <v>High-Rise Elevator</v>
      </c>
      <c r="P460" s="2538" t="str">
        <f>'Part V-Revenues &amp; Expenses'!P22</f>
        <v>New Construction</v>
      </c>
      <c r="Q460" s="1804" t="str">
        <f>'Part V-Revenues &amp; Expenses'!Q22</f>
        <v>No</v>
      </c>
      <c r="R460" s="2670"/>
      <c r="S460" s="2671"/>
      <c r="T460" s="2672"/>
      <c r="U460" s="2672"/>
      <c r="V460" s="2672"/>
      <c r="W460" s="2672"/>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19</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17100</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19</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5" t="str">
        <f t="shared" si="213"/>
        <v/>
      </c>
      <c r="IA460" s="1805" t="str">
        <f t="shared" si="214"/>
        <v/>
      </c>
      <c r="IB460" s="1805">
        <f t="shared" si="215"/>
        <v>19</v>
      </c>
      <c r="IC460" s="1805" t="str">
        <f t="shared" si="216"/>
        <v/>
      </c>
      <c r="ID460" s="1805" t="str">
        <f t="shared" si="217"/>
        <v/>
      </c>
      <c r="IE460" s="1805" t="str">
        <f t="shared" si="218"/>
        <v/>
      </c>
      <c r="IF460" s="1805" t="str">
        <f t="shared" si="219"/>
        <v/>
      </c>
      <c r="IG460" s="1805" t="str">
        <f t="shared" si="220"/>
        <v/>
      </c>
      <c r="IH460" s="1805" t="str">
        <f t="shared" si="221"/>
        <v/>
      </c>
      <c r="II460" s="1805" t="str">
        <f t="shared" si="222"/>
        <v/>
      </c>
      <c r="IJ460" s="1805" t="str">
        <f t="shared" si="223"/>
        <v/>
      </c>
      <c r="IK460" s="1805" t="str">
        <f t="shared" si="224"/>
        <v/>
      </c>
      <c r="IL460" s="1805" t="str">
        <f t="shared" si="225"/>
        <v/>
      </c>
      <c r="IM460" s="1805" t="str">
        <f t="shared" si="226"/>
        <v/>
      </c>
      <c r="IN460" s="1805" t="str">
        <f t="shared" si="227"/>
        <v/>
      </c>
      <c r="IO460" s="1805" t="str">
        <f t="shared" si="228"/>
        <v/>
      </c>
      <c r="IP460" s="1805" t="str">
        <f t="shared" si="229"/>
        <v/>
      </c>
      <c r="IQ460" s="1805" t="str">
        <f t="shared" si="230"/>
        <v/>
      </c>
      <c r="IR460" s="1805" t="str">
        <f t="shared" si="231"/>
        <v/>
      </c>
      <c r="IS460" s="1805" t="str">
        <f t="shared" si="232"/>
        <v/>
      </c>
      <c r="IT460" s="1805" t="str">
        <f t="shared" si="233"/>
        <v/>
      </c>
      <c r="IU460" s="1805" t="str">
        <f t="shared" si="234"/>
        <v/>
      </c>
      <c r="IV460" s="1805" t="str">
        <f t="shared" si="235"/>
        <v/>
      </c>
      <c r="IW460" s="1805" t="str">
        <f t="shared" si="236"/>
        <v/>
      </c>
      <c r="IX460" s="1805" t="str">
        <f t="shared" si="237"/>
        <v/>
      </c>
      <c r="IY460" s="1805" t="str">
        <f t="shared" si="238"/>
        <v/>
      </c>
      <c r="IZ460" s="1805" t="str">
        <f t="shared" si="239"/>
        <v/>
      </c>
      <c r="JA460" s="1805" t="str">
        <f t="shared" si="240"/>
        <v/>
      </c>
      <c r="JB460" s="1805" t="str">
        <f t="shared" si="241"/>
        <v/>
      </c>
      <c r="JC460" s="1805" t="str">
        <f t="shared" si="242"/>
        <v/>
      </c>
      <c r="JD460" s="1805" t="str">
        <f t="shared" si="243"/>
        <v/>
      </c>
      <c r="JE460" s="1805" t="str">
        <f t="shared" si="244"/>
        <v/>
      </c>
      <c r="JF460" s="1805" t="str">
        <f t="shared" si="245"/>
        <v/>
      </c>
      <c r="JG460" s="1805" t="str">
        <f t="shared" si="246"/>
        <v/>
      </c>
      <c r="JH460" s="1805" t="str">
        <f t="shared" si="247"/>
        <v/>
      </c>
      <c r="JI460" s="1805" t="str">
        <f t="shared" si="248"/>
        <v/>
      </c>
      <c r="JJ460" s="1805" t="str">
        <f t="shared" si="249"/>
        <v/>
      </c>
      <c r="JK460" s="1805" t="str">
        <f t="shared" si="250"/>
        <v/>
      </c>
      <c r="JL460" s="1805" t="str">
        <f t="shared" si="251"/>
        <v/>
      </c>
      <c r="JM460" s="1805" t="str">
        <f t="shared" si="252"/>
        <v/>
      </c>
      <c r="JN460" s="1805" t="str">
        <f t="shared" si="253"/>
        <v/>
      </c>
      <c r="JO460" s="1805" t="str">
        <f t="shared" si="254"/>
        <v/>
      </c>
      <c r="JP460" s="1805" t="str">
        <f t="shared" si="255"/>
        <v/>
      </c>
      <c r="JQ460" s="1805" t="str">
        <f t="shared" si="256"/>
        <v/>
      </c>
      <c r="JR460" s="1805" t="str">
        <f t="shared" si="257"/>
        <v/>
      </c>
      <c r="JS460" s="1805" t="str">
        <f t="shared" si="258"/>
        <v/>
      </c>
      <c r="JT460" s="1805" t="str">
        <f t="shared" si="259"/>
        <v/>
      </c>
      <c r="JU460" s="1805" t="str">
        <f t="shared" si="260"/>
        <v/>
      </c>
      <c r="JV460" s="1805" t="str">
        <f t="shared" si="261"/>
        <v/>
      </c>
      <c r="JW460" s="1805" t="str">
        <f t="shared" si="262"/>
        <v/>
      </c>
      <c r="JX460" s="1805" t="str">
        <f t="shared" si="263"/>
        <v/>
      </c>
      <c r="JY460" s="1805" t="str">
        <f t="shared" si="264"/>
        <v/>
      </c>
      <c r="JZ460" s="1805" t="str">
        <f t="shared" si="265"/>
        <v/>
      </c>
      <c r="KA460" s="1805" t="str">
        <f t="shared" si="266"/>
        <v/>
      </c>
      <c r="KB460" s="1805" t="str">
        <f t="shared" si="267"/>
        <v/>
      </c>
      <c r="KC460" s="1805" t="str">
        <f t="shared" si="268"/>
        <v/>
      </c>
      <c r="KD460" s="1805" t="str">
        <f t="shared" si="269"/>
        <v/>
      </c>
      <c r="KE460" s="1805" t="str">
        <f t="shared" si="270"/>
        <v/>
      </c>
      <c r="KF460" s="1805" t="str">
        <f t="shared" si="271"/>
        <v/>
      </c>
      <c r="KG460" s="1805" t="str">
        <f t="shared" si="272"/>
        <v/>
      </c>
      <c r="KH460" s="1805" t="str">
        <f t="shared" si="273"/>
        <v/>
      </c>
      <c r="KI460" s="1805" t="str">
        <f t="shared" si="274"/>
        <v/>
      </c>
      <c r="KJ460" s="1805" t="str">
        <f t="shared" si="275"/>
        <v/>
      </c>
      <c r="KK460" s="1805" t="str">
        <f t="shared" si="276"/>
        <v/>
      </c>
      <c r="KL460" s="1805" t="str">
        <f t="shared" si="277"/>
        <v/>
      </c>
      <c r="KM460" s="1805" t="str">
        <f t="shared" si="278"/>
        <v/>
      </c>
      <c r="KN460" s="1805" t="str">
        <f t="shared" si="279"/>
        <v/>
      </c>
      <c r="KO460" s="1805" t="str">
        <f t="shared" si="280"/>
        <v/>
      </c>
      <c r="KP460" s="1805" t="str">
        <f t="shared" si="281"/>
        <v/>
      </c>
      <c r="KQ460" s="1805" t="str">
        <f t="shared" si="282"/>
        <v/>
      </c>
      <c r="KR460" s="1805" t="str">
        <f t="shared" si="283"/>
        <v/>
      </c>
      <c r="KS460" s="1805" t="str">
        <f t="shared" si="284"/>
        <v/>
      </c>
      <c r="KT460" s="1805">
        <f t="shared" si="285"/>
        <v>19</v>
      </c>
      <c r="KU460" s="1805" t="str">
        <f t="shared" si="286"/>
        <v/>
      </c>
      <c r="KV460" s="1805" t="str">
        <f t="shared" si="287"/>
        <v/>
      </c>
      <c r="KW460" s="1805" t="str">
        <f t="shared" si="288"/>
        <v/>
      </c>
      <c r="KX460" s="1805" t="str">
        <f t="shared" si="289"/>
        <v/>
      </c>
      <c r="KY460" s="1805" t="str">
        <f t="shared" si="290"/>
        <v/>
      </c>
      <c r="KZ460" s="1805" t="str">
        <f t="shared" si="291"/>
        <v/>
      </c>
      <c r="LA460" s="1805" t="str">
        <f t="shared" si="292"/>
        <v/>
      </c>
      <c r="LB460" s="1805" t="str">
        <f t="shared" si="293"/>
        <v/>
      </c>
      <c r="LC460" s="1805" t="str">
        <f t="shared" si="294"/>
        <v/>
      </c>
      <c r="LD460" s="1805" t="str">
        <f t="shared" si="295"/>
        <v/>
      </c>
      <c r="LE460" s="1805" t="str">
        <f t="shared" si="296"/>
        <v/>
      </c>
      <c r="LF460" s="1805" t="str">
        <f t="shared" si="297"/>
        <v/>
      </c>
      <c r="LG460" s="1794" t="str">
        <f t="shared" si="298"/>
        <v/>
      </c>
      <c r="LH460" s="1794" t="str">
        <f t="shared" si="299"/>
        <v/>
      </c>
      <c r="LI460" s="1794" t="str">
        <f t="shared" si="300"/>
        <v/>
      </c>
      <c r="LJ460" s="1794" t="str">
        <f t="shared" si="301"/>
        <v/>
      </c>
      <c r="LK460" s="1794"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7">
        <f t="shared" si="323"/>
        <v>0</v>
      </c>
      <c r="MG460" s="1657">
        <f t="shared" si="324"/>
        <v>0</v>
      </c>
      <c r="MH460" s="1657">
        <f t="shared" si="325"/>
        <v>0</v>
      </c>
      <c r="MI460" s="1657">
        <f t="shared" si="326"/>
        <v>0</v>
      </c>
      <c r="MJ460" s="1657">
        <f t="shared" si="327"/>
        <v>0</v>
      </c>
      <c r="MK460" s="1657">
        <f t="shared" si="333"/>
        <v>0</v>
      </c>
      <c r="ML460" s="1657">
        <f t="shared" si="334"/>
        <v>0</v>
      </c>
      <c r="MM460" s="1657">
        <f t="shared" si="335"/>
        <v>19</v>
      </c>
      <c r="MN460" s="1657">
        <f t="shared" si="336"/>
        <v>0</v>
      </c>
      <c r="MO460" s="1657">
        <f t="shared" si="337"/>
        <v>0</v>
      </c>
      <c r="MP460" s="1657">
        <f t="shared" si="328"/>
        <v>0</v>
      </c>
      <c r="MQ460" s="1657">
        <f t="shared" si="329"/>
        <v>0</v>
      </c>
      <c r="MR460" s="1657">
        <f t="shared" si="330"/>
        <v>0</v>
      </c>
      <c r="MS460" s="1657">
        <f t="shared" si="331"/>
        <v>0</v>
      </c>
      <c r="MT460" s="1657">
        <f t="shared" si="332"/>
        <v>0</v>
      </c>
      <c r="NP460" s="356" t="s">
        <v>4315</v>
      </c>
    </row>
    <row r="461" spans="1:380" ht="13.9" customHeight="1">
      <c r="A461" s="2645" t="str">
        <f t="shared" si="0"/>
        <v/>
      </c>
      <c r="B461" s="2664">
        <f>'Part V-Revenues &amp; Expenses'!B23</f>
        <v>60</v>
      </c>
      <c r="C461" s="2665">
        <f>'Part V-Revenues &amp; Expenses'!C23</f>
        <v>3</v>
      </c>
      <c r="D461" s="2666">
        <f>'Part V-Revenues &amp; Expenses'!D23</f>
        <v>2</v>
      </c>
      <c r="E461" s="2667">
        <f>'Part V-Revenues &amp; Expenses'!E23</f>
        <v>19</v>
      </c>
      <c r="F461" s="2667">
        <f>'Part V-Revenues &amp; Expenses'!F23</f>
        <v>1200</v>
      </c>
      <c r="G461" s="2667">
        <f>'Part V-Revenues &amp; Expenses'!G23</f>
        <v>1677</v>
      </c>
      <c r="H461" s="2667">
        <f>'Part V-Revenues &amp; Expenses'!H23</f>
        <v>1584</v>
      </c>
      <c r="I461" s="2667">
        <f>'Part V-Revenues &amp; Expenses'!I23</f>
        <v>0</v>
      </c>
      <c r="J461" s="2667">
        <f>'Part V-Revenues &amp; Expenses'!J23</f>
        <v>184</v>
      </c>
      <c r="K461" s="2668">
        <f>'Part V-Revenues &amp; Expenses'!K23</f>
        <v>0</v>
      </c>
      <c r="L461" s="2669">
        <f t="shared" si="1"/>
        <v>1400</v>
      </c>
      <c r="M461" s="2669">
        <f t="shared" si="2"/>
        <v>26600</v>
      </c>
      <c r="N461" s="2538">
        <f>'Part V-Revenues &amp; Expenses'!N23</f>
        <v>0</v>
      </c>
      <c r="O461" s="1257" t="str">
        <f>'Part V-Revenues &amp; Expenses'!O23</f>
        <v>High-Rise Elevator</v>
      </c>
      <c r="P461" s="2538" t="str">
        <f>'Part V-Revenues &amp; Expenses'!P23</f>
        <v>New Construction</v>
      </c>
      <c r="Q461" s="1804" t="str">
        <f>'Part V-Revenues &amp; Expenses'!Q23</f>
        <v>No</v>
      </c>
      <c r="R461" s="2670"/>
      <c r="S461" s="2671"/>
      <c r="T461" s="2672"/>
      <c r="U461" s="2672"/>
      <c r="V461" s="2672"/>
      <c r="W461" s="2672"/>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f t="shared" si="16"/>
        <v>19</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f t="shared" si="131"/>
        <v>22800</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f t="shared" si="171"/>
        <v>19</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5" t="str">
        <f t="shared" si="213"/>
        <v/>
      </c>
      <c r="IA461" s="1805" t="str">
        <f t="shared" si="214"/>
        <v/>
      </c>
      <c r="IB461" s="1805" t="str">
        <f t="shared" si="215"/>
        <v/>
      </c>
      <c r="IC461" s="1805">
        <f t="shared" si="216"/>
        <v>19</v>
      </c>
      <c r="ID461" s="1805" t="str">
        <f t="shared" si="217"/>
        <v/>
      </c>
      <c r="IE461" s="1805" t="str">
        <f t="shared" si="218"/>
        <v/>
      </c>
      <c r="IF461" s="1805" t="str">
        <f t="shared" si="219"/>
        <v/>
      </c>
      <c r="IG461" s="1805" t="str">
        <f t="shared" si="220"/>
        <v/>
      </c>
      <c r="IH461" s="1805" t="str">
        <f t="shared" si="221"/>
        <v/>
      </c>
      <c r="II461" s="1805" t="str">
        <f t="shared" si="222"/>
        <v/>
      </c>
      <c r="IJ461" s="1805" t="str">
        <f t="shared" si="223"/>
        <v/>
      </c>
      <c r="IK461" s="1805" t="str">
        <f t="shared" si="224"/>
        <v/>
      </c>
      <c r="IL461" s="1805" t="str">
        <f t="shared" si="225"/>
        <v/>
      </c>
      <c r="IM461" s="1805" t="str">
        <f t="shared" si="226"/>
        <v/>
      </c>
      <c r="IN461" s="1805" t="str">
        <f t="shared" si="227"/>
        <v/>
      </c>
      <c r="IO461" s="1805" t="str">
        <f t="shared" si="228"/>
        <v/>
      </c>
      <c r="IP461" s="1805" t="str">
        <f t="shared" si="229"/>
        <v/>
      </c>
      <c r="IQ461" s="1805" t="str">
        <f t="shared" si="230"/>
        <v/>
      </c>
      <c r="IR461" s="1805" t="str">
        <f t="shared" si="231"/>
        <v/>
      </c>
      <c r="IS461" s="1805" t="str">
        <f t="shared" si="232"/>
        <v/>
      </c>
      <c r="IT461" s="1805" t="str">
        <f t="shared" si="233"/>
        <v/>
      </c>
      <c r="IU461" s="1805" t="str">
        <f t="shared" si="234"/>
        <v/>
      </c>
      <c r="IV461" s="1805" t="str">
        <f t="shared" si="235"/>
        <v/>
      </c>
      <c r="IW461" s="1805" t="str">
        <f t="shared" si="236"/>
        <v/>
      </c>
      <c r="IX461" s="1805" t="str">
        <f t="shared" si="237"/>
        <v/>
      </c>
      <c r="IY461" s="1805" t="str">
        <f t="shared" si="238"/>
        <v/>
      </c>
      <c r="IZ461" s="1805" t="str">
        <f t="shared" si="239"/>
        <v/>
      </c>
      <c r="JA461" s="1805" t="str">
        <f t="shared" si="240"/>
        <v/>
      </c>
      <c r="JB461" s="1805" t="str">
        <f t="shared" si="241"/>
        <v/>
      </c>
      <c r="JC461" s="1805" t="str">
        <f t="shared" si="242"/>
        <v/>
      </c>
      <c r="JD461" s="1805" t="str">
        <f t="shared" si="243"/>
        <v/>
      </c>
      <c r="JE461" s="1805" t="str">
        <f t="shared" si="244"/>
        <v/>
      </c>
      <c r="JF461" s="1805" t="str">
        <f t="shared" si="245"/>
        <v/>
      </c>
      <c r="JG461" s="1805" t="str">
        <f t="shared" si="246"/>
        <v/>
      </c>
      <c r="JH461" s="1805" t="str">
        <f t="shared" si="247"/>
        <v/>
      </c>
      <c r="JI461" s="1805" t="str">
        <f t="shared" si="248"/>
        <v/>
      </c>
      <c r="JJ461" s="1805" t="str">
        <f t="shared" si="249"/>
        <v/>
      </c>
      <c r="JK461" s="1805" t="str">
        <f t="shared" si="250"/>
        <v/>
      </c>
      <c r="JL461" s="1805" t="str">
        <f t="shared" si="251"/>
        <v/>
      </c>
      <c r="JM461" s="1805" t="str">
        <f t="shared" si="252"/>
        <v/>
      </c>
      <c r="JN461" s="1805" t="str">
        <f t="shared" si="253"/>
        <v/>
      </c>
      <c r="JO461" s="1805" t="str">
        <f t="shared" si="254"/>
        <v/>
      </c>
      <c r="JP461" s="1805" t="str">
        <f t="shared" si="255"/>
        <v/>
      </c>
      <c r="JQ461" s="1805" t="str">
        <f t="shared" si="256"/>
        <v/>
      </c>
      <c r="JR461" s="1805" t="str">
        <f t="shared" si="257"/>
        <v/>
      </c>
      <c r="JS461" s="1805" t="str">
        <f t="shared" si="258"/>
        <v/>
      </c>
      <c r="JT461" s="1805" t="str">
        <f t="shared" si="259"/>
        <v/>
      </c>
      <c r="JU461" s="1805" t="str">
        <f t="shared" si="260"/>
        <v/>
      </c>
      <c r="JV461" s="1805" t="str">
        <f t="shared" si="261"/>
        <v/>
      </c>
      <c r="JW461" s="1805" t="str">
        <f t="shared" si="262"/>
        <v/>
      </c>
      <c r="JX461" s="1805" t="str">
        <f t="shared" si="263"/>
        <v/>
      </c>
      <c r="JY461" s="1805" t="str">
        <f t="shared" si="264"/>
        <v/>
      </c>
      <c r="JZ461" s="1805" t="str">
        <f t="shared" si="265"/>
        <v/>
      </c>
      <c r="KA461" s="1805" t="str">
        <f t="shared" si="266"/>
        <v/>
      </c>
      <c r="KB461" s="1805" t="str">
        <f t="shared" si="267"/>
        <v/>
      </c>
      <c r="KC461" s="1805" t="str">
        <f t="shared" si="268"/>
        <v/>
      </c>
      <c r="KD461" s="1805" t="str">
        <f t="shared" si="269"/>
        <v/>
      </c>
      <c r="KE461" s="1805" t="str">
        <f t="shared" si="270"/>
        <v/>
      </c>
      <c r="KF461" s="1805" t="str">
        <f t="shared" si="271"/>
        <v/>
      </c>
      <c r="KG461" s="1805" t="str">
        <f t="shared" si="272"/>
        <v/>
      </c>
      <c r="KH461" s="1805" t="str">
        <f t="shared" si="273"/>
        <v/>
      </c>
      <c r="KI461" s="1805" t="str">
        <f t="shared" si="274"/>
        <v/>
      </c>
      <c r="KJ461" s="1805" t="str">
        <f t="shared" si="275"/>
        <v/>
      </c>
      <c r="KK461" s="1805" t="str">
        <f t="shared" si="276"/>
        <v/>
      </c>
      <c r="KL461" s="1805" t="str">
        <f t="shared" si="277"/>
        <v/>
      </c>
      <c r="KM461" s="1805" t="str">
        <f t="shared" si="278"/>
        <v/>
      </c>
      <c r="KN461" s="1805" t="str">
        <f t="shared" si="279"/>
        <v/>
      </c>
      <c r="KO461" s="1805" t="str">
        <f t="shared" si="280"/>
        <v/>
      </c>
      <c r="KP461" s="1805" t="str">
        <f t="shared" si="281"/>
        <v/>
      </c>
      <c r="KQ461" s="1805" t="str">
        <f t="shared" si="282"/>
        <v/>
      </c>
      <c r="KR461" s="1805" t="str">
        <f t="shared" si="283"/>
        <v/>
      </c>
      <c r="KS461" s="1805" t="str">
        <f t="shared" si="284"/>
        <v/>
      </c>
      <c r="KT461" s="1805" t="str">
        <f t="shared" si="285"/>
        <v/>
      </c>
      <c r="KU461" s="1805">
        <f t="shared" si="286"/>
        <v>19</v>
      </c>
      <c r="KV461" s="1805" t="str">
        <f t="shared" si="287"/>
        <v/>
      </c>
      <c r="KW461" s="1805" t="str">
        <f t="shared" si="288"/>
        <v/>
      </c>
      <c r="KX461" s="1805" t="str">
        <f t="shared" si="289"/>
        <v/>
      </c>
      <c r="KY461" s="1805" t="str">
        <f t="shared" si="290"/>
        <v/>
      </c>
      <c r="KZ461" s="1805" t="str">
        <f t="shared" si="291"/>
        <v/>
      </c>
      <c r="LA461" s="1805" t="str">
        <f t="shared" si="292"/>
        <v/>
      </c>
      <c r="LB461" s="1805" t="str">
        <f t="shared" si="293"/>
        <v/>
      </c>
      <c r="LC461" s="1805" t="str">
        <f t="shared" si="294"/>
        <v/>
      </c>
      <c r="LD461" s="1805" t="str">
        <f t="shared" si="295"/>
        <v/>
      </c>
      <c r="LE461" s="1805" t="str">
        <f t="shared" si="296"/>
        <v/>
      </c>
      <c r="LF461" s="1805" t="str">
        <f t="shared" si="297"/>
        <v/>
      </c>
      <c r="LG461" s="1794" t="str">
        <f t="shared" si="298"/>
        <v/>
      </c>
      <c r="LH461" s="1794" t="str">
        <f t="shared" si="299"/>
        <v/>
      </c>
      <c r="LI461" s="1794" t="str">
        <f t="shared" si="300"/>
        <v/>
      </c>
      <c r="LJ461" s="1794" t="str">
        <f t="shared" si="301"/>
        <v/>
      </c>
      <c r="LK461" s="1794"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7">
        <f t="shared" si="323"/>
        <v>0</v>
      </c>
      <c r="MG461" s="1657">
        <f t="shared" si="324"/>
        <v>0</v>
      </c>
      <c r="MH461" s="1657">
        <f t="shared" si="325"/>
        <v>0</v>
      </c>
      <c r="MI461" s="1657">
        <f t="shared" si="326"/>
        <v>0</v>
      </c>
      <c r="MJ461" s="1657">
        <f t="shared" si="327"/>
        <v>0</v>
      </c>
      <c r="MK461" s="1657">
        <f t="shared" si="333"/>
        <v>0</v>
      </c>
      <c r="ML461" s="1657">
        <f t="shared" si="334"/>
        <v>0</v>
      </c>
      <c r="MM461" s="1657">
        <f t="shared" si="335"/>
        <v>0</v>
      </c>
      <c r="MN461" s="1657">
        <f t="shared" si="336"/>
        <v>19</v>
      </c>
      <c r="MO461" s="1657">
        <f t="shared" si="337"/>
        <v>0</v>
      </c>
      <c r="MP461" s="1657">
        <f t="shared" si="328"/>
        <v>0</v>
      </c>
      <c r="MQ461" s="1657">
        <f t="shared" si="329"/>
        <v>0</v>
      </c>
      <c r="MR461" s="1657">
        <f t="shared" si="330"/>
        <v>0</v>
      </c>
      <c r="MS461" s="1657">
        <f t="shared" si="331"/>
        <v>0</v>
      </c>
      <c r="MT461" s="1657">
        <f t="shared" si="332"/>
        <v>0</v>
      </c>
      <c r="NP461" s="356" t="s">
        <v>4316</v>
      </c>
    </row>
    <row r="462" spans="1:380" ht="13.9" customHeight="1">
      <c r="A462" s="2645" t="str">
        <f t="shared" si="0"/>
        <v/>
      </c>
      <c r="B462" s="2664">
        <f>'Part V-Revenues &amp; Expenses'!B24</f>
        <v>0</v>
      </c>
      <c r="C462" s="2665">
        <f>'Part V-Revenues &amp; Expenses'!C24</f>
        <v>0</v>
      </c>
      <c r="D462" s="2666">
        <f>'Part V-Revenues &amp; Expenses'!D24</f>
        <v>0</v>
      </c>
      <c r="E462" s="2667">
        <f>'Part V-Revenues &amp; Expenses'!E24</f>
        <v>0</v>
      </c>
      <c r="F462" s="2667">
        <f>'Part V-Revenues &amp; Expenses'!F24</f>
        <v>0</v>
      </c>
      <c r="G462" s="2667">
        <f>'Part V-Revenues &amp; Expenses'!G24</f>
        <v>0</v>
      </c>
      <c r="H462" s="2667">
        <f>'Part V-Revenues &amp; Expenses'!H24</f>
        <v>0</v>
      </c>
      <c r="I462" s="2667">
        <f>'Part V-Revenues &amp; Expenses'!I24</f>
        <v>0</v>
      </c>
      <c r="J462" s="2667">
        <f>'Part V-Revenues &amp; Expenses'!J24</f>
        <v>0</v>
      </c>
      <c r="K462" s="2668">
        <f>'Part V-Revenues &amp; Expenses'!K24</f>
        <v>0</v>
      </c>
      <c r="L462" s="2669">
        <f t="shared" si="1"/>
        <v>0</v>
      </c>
      <c r="M462" s="2669">
        <f t="shared" si="2"/>
        <v>0</v>
      </c>
      <c r="N462" s="2538">
        <f>'Part V-Revenues &amp; Expenses'!N24</f>
        <v>0</v>
      </c>
      <c r="O462" s="1257">
        <f>'Part V-Revenues &amp; Expenses'!O24</f>
        <v>0</v>
      </c>
      <c r="P462" s="2538">
        <f>'Part V-Revenues &amp; Expenses'!P24</f>
        <v>0</v>
      </c>
      <c r="Q462" s="1804">
        <f>'Part V-Revenues &amp; Expenses'!Q24</f>
        <v>0</v>
      </c>
      <c r="R462" s="2670"/>
      <c r="S462" s="2671"/>
      <c r="T462" s="2672"/>
      <c r="U462" s="2672"/>
      <c r="V462" s="2672"/>
      <c r="W462" s="2672"/>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5" t="str">
        <f t="shared" si="213"/>
        <v/>
      </c>
      <c r="IA462" s="1805" t="str">
        <f t="shared" si="214"/>
        <v/>
      </c>
      <c r="IB462" s="1805" t="str">
        <f t="shared" si="215"/>
        <v/>
      </c>
      <c r="IC462" s="1805" t="str">
        <f t="shared" si="216"/>
        <v/>
      </c>
      <c r="ID462" s="1805" t="str">
        <f t="shared" si="217"/>
        <v/>
      </c>
      <c r="IE462" s="1805" t="str">
        <f t="shared" si="218"/>
        <v/>
      </c>
      <c r="IF462" s="1805" t="str">
        <f t="shared" si="219"/>
        <v/>
      </c>
      <c r="IG462" s="1805" t="str">
        <f t="shared" si="220"/>
        <v/>
      </c>
      <c r="IH462" s="1805" t="str">
        <f t="shared" si="221"/>
        <v/>
      </c>
      <c r="II462" s="1805" t="str">
        <f t="shared" si="222"/>
        <v/>
      </c>
      <c r="IJ462" s="1805" t="str">
        <f t="shared" si="223"/>
        <v/>
      </c>
      <c r="IK462" s="1805" t="str">
        <f t="shared" si="224"/>
        <v/>
      </c>
      <c r="IL462" s="1805" t="str">
        <f t="shared" si="225"/>
        <v/>
      </c>
      <c r="IM462" s="1805" t="str">
        <f t="shared" si="226"/>
        <v/>
      </c>
      <c r="IN462" s="1805" t="str">
        <f t="shared" si="227"/>
        <v/>
      </c>
      <c r="IO462" s="1805" t="str">
        <f t="shared" si="228"/>
        <v/>
      </c>
      <c r="IP462" s="1805" t="str">
        <f t="shared" si="229"/>
        <v/>
      </c>
      <c r="IQ462" s="1805" t="str">
        <f t="shared" si="230"/>
        <v/>
      </c>
      <c r="IR462" s="1805" t="str">
        <f t="shared" si="231"/>
        <v/>
      </c>
      <c r="IS462" s="1805" t="str">
        <f t="shared" si="232"/>
        <v/>
      </c>
      <c r="IT462" s="1805" t="str">
        <f t="shared" si="233"/>
        <v/>
      </c>
      <c r="IU462" s="1805" t="str">
        <f t="shared" si="234"/>
        <v/>
      </c>
      <c r="IV462" s="1805" t="str">
        <f t="shared" si="235"/>
        <v/>
      </c>
      <c r="IW462" s="1805" t="str">
        <f t="shared" si="236"/>
        <v/>
      </c>
      <c r="IX462" s="1805" t="str">
        <f t="shared" si="237"/>
        <v/>
      </c>
      <c r="IY462" s="1805" t="str">
        <f t="shared" si="238"/>
        <v/>
      </c>
      <c r="IZ462" s="1805" t="str">
        <f t="shared" si="239"/>
        <v/>
      </c>
      <c r="JA462" s="1805" t="str">
        <f t="shared" si="240"/>
        <v/>
      </c>
      <c r="JB462" s="1805" t="str">
        <f t="shared" si="241"/>
        <v/>
      </c>
      <c r="JC462" s="1805" t="str">
        <f t="shared" si="242"/>
        <v/>
      </c>
      <c r="JD462" s="1805" t="str">
        <f t="shared" si="243"/>
        <v/>
      </c>
      <c r="JE462" s="1805" t="str">
        <f t="shared" si="244"/>
        <v/>
      </c>
      <c r="JF462" s="1805" t="str">
        <f t="shared" si="245"/>
        <v/>
      </c>
      <c r="JG462" s="1805" t="str">
        <f t="shared" si="246"/>
        <v/>
      </c>
      <c r="JH462" s="1805" t="str">
        <f t="shared" si="247"/>
        <v/>
      </c>
      <c r="JI462" s="1805" t="str">
        <f t="shared" si="248"/>
        <v/>
      </c>
      <c r="JJ462" s="1805" t="str">
        <f t="shared" si="249"/>
        <v/>
      </c>
      <c r="JK462" s="1805" t="str">
        <f t="shared" si="250"/>
        <v/>
      </c>
      <c r="JL462" s="1805" t="str">
        <f t="shared" si="251"/>
        <v/>
      </c>
      <c r="JM462" s="1805" t="str">
        <f t="shared" si="252"/>
        <v/>
      </c>
      <c r="JN462" s="1805" t="str">
        <f t="shared" si="253"/>
        <v/>
      </c>
      <c r="JO462" s="1805" t="str">
        <f t="shared" si="254"/>
        <v/>
      </c>
      <c r="JP462" s="1805" t="str">
        <f t="shared" si="255"/>
        <v/>
      </c>
      <c r="JQ462" s="1805" t="str">
        <f t="shared" si="256"/>
        <v/>
      </c>
      <c r="JR462" s="1805" t="str">
        <f t="shared" si="257"/>
        <v/>
      </c>
      <c r="JS462" s="1805" t="str">
        <f t="shared" si="258"/>
        <v/>
      </c>
      <c r="JT462" s="1805" t="str">
        <f t="shared" si="259"/>
        <v/>
      </c>
      <c r="JU462" s="1805" t="str">
        <f t="shared" si="260"/>
        <v/>
      </c>
      <c r="JV462" s="1805" t="str">
        <f t="shared" si="261"/>
        <v/>
      </c>
      <c r="JW462" s="1805" t="str">
        <f t="shared" si="262"/>
        <v/>
      </c>
      <c r="JX462" s="1805" t="str">
        <f t="shared" si="263"/>
        <v/>
      </c>
      <c r="JY462" s="1805" t="str">
        <f t="shared" si="264"/>
        <v/>
      </c>
      <c r="JZ462" s="1805" t="str">
        <f t="shared" si="265"/>
        <v/>
      </c>
      <c r="KA462" s="1805" t="str">
        <f t="shared" si="266"/>
        <v/>
      </c>
      <c r="KB462" s="1805" t="str">
        <f t="shared" si="267"/>
        <v/>
      </c>
      <c r="KC462" s="1805" t="str">
        <f t="shared" si="268"/>
        <v/>
      </c>
      <c r="KD462" s="1805" t="str">
        <f t="shared" si="269"/>
        <v/>
      </c>
      <c r="KE462" s="1805" t="str">
        <f t="shared" si="270"/>
        <v/>
      </c>
      <c r="KF462" s="1805" t="str">
        <f t="shared" si="271"/>
        <v/>
      </c>
      <c r="KG462" s="1805" t="str">
        <f t="shared" si="272"/>
        <v/>
      </c>
      <c r="KH462" s="1805" t="str">
        <f t="shared" si="273"/>
        <v/>
      </c>
      <c r="KI462" s="1805" t="str">
        <f t="shared" si="274"/>
        <v/>
      </c>
      <c r="KJ462" s="1805" t="str">
        <f t="shared" si="275"/>
        <v/>
      </c>
      <c r="KK462" s="1805" t="str">
        <f t="shared" si="276"/>
        <v/>
      </c>
      <c r="KL462" s="1805" t="str">
        <f t="shared" si="277"/>
        <v/>
      </c>
      <c r="KM462" s="1805" t="str">
        <f t="shared" si="278"/>
        <v/>
      </c>
      <c r="KN462" s="1805" t="str">
        <f t="shared" si="279"/>
        <v/>
      </c>
      <c r="KO462" s="1805" t="str">
        <f t="shared" si="280"/>
        <v/>
      </c>
      <c r="KP462" s="1805" t="str">
        <f t="shared" si="281"/>
        <v/>
      </c>
      <c r="KQ462" s="1805" t="str">
        <f t="shared" si="282"/>
        <v/>
      </c>
      <c r="KR462" s="1805" t="str">
        <f t="shared" si="283"/>
        <v/>
      </c>
      <c r="KS462" s="1805" t="str">
        <f t="shared" si="284"/>
        <v/>
      </c>
      <c r="KT462" s="1805" t="str">
        <f t="shared" si="285"/>
        <v/>
      </c>
      <c r="KU462" s="1805" t="str">
        <f t="shared" si="286"/>
        <v/>
      </c>
      <c r="KV462" s="1805" t="str">
        <f t="shared" si="287"/>
        <v/>
      </c>
      <c r="KW462" s="1805" t="str">
        <f t="shared" si="288"/>
        <v/>
      </c>
      <c r="KX462" s="1805" t="str">
        <f t="shared" si="289"/>
        <v/>
      </c>
      <c r="KY462" s="1805" t="str">
        <f t="shared" si="290"/>
        <v/>
      </c>
      <c r="KZ462" s="1805" t="str">
        <f t="shared" si="291"/>
        <v/>
      </c>
      <c r="LA462" s="1805" t="str">
        <f t="shared" si="292"/>
        <v/>
      </c>
      <c r="LB462" s="1805" t="str">
        <f t="shared" si="293"/>
        <v/>
      </c>
      <c r="LC462" s="1805" t="str">
        <f t="shared" si="294"/>
        <v/>
      </c>
      <c r="LD462" s="1805" t="str">
        <f t="shared" si="295"/>
        <v/>
      </c>
      <c r="LE462" s="1805" t="str">
        <f t="shared" si="296"/>
        <v/>
      </c>
      <c r="LF462" s="1805" t="str">
        <f t="shared" si="297"/>
        <v/>
      </c>
      <c r="LG462" s="1794" t="str">
        <f t="shared" si="298"/>
        <v/>
      </c>
      <c r="LH462" s="1794" t="str">
        <f t="shared" si="299"/>
        <v/>
      </c>
      <c r="LI462" s="1794" t="str">
        <f t="shared" si="300"/>
        <v/>
      </c>
      <c r="LJ462" s="1794" t="str">
        <f t="shared" si="301"/>
        <v/>
      </c>
      <c r="LK462" s="1794"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7">
        <f t="shared" si="323"/>
        <v>0</v>
      </c>
      <c r="MG462" s="1657">
        <f t="shared" si="324"/>
        <v>0</v>
      </c>
      <c r="MH462" s="1657">
        <f t="shared" si="325"/>
        <v>0</v>
      </c>
      <c r="MI462" s="1657">
        <f t="shared" si="326"/>
        <v>0</v>
      </c>
      <c r="MJ462" s="1657">
        <f t="shared" si="327"/>
        <v>0</v>
      </c>
      <c r="MK462" s="1657">
        <f t="shared" si="333"/>
        <v>0</v>
      </c>
      <c r="ML462" s="1657">
        <f t="shared" si="334"/>
        <v>0</v>
      </c>
      <c r="MM462" s="1657">
        <f t="shared" si="335"/>
        <v>0</v>
      </c>
      <c r="MN462" s="1657">
        <f t="shared" si="336"/>
        <v>0</v>
      </c>
      <c r="MO462" s="1657">
        <f t="shared" si="337"/>
        <v>0</v>
      </c>
      <c r="MP462" s="1657">
        <f t="shared" si="328"/>
        <v>0</v>
      </c>
      <c r="MQ462" s="1657">
        <f t="shared" si="329"/>
        <v>0</v>
      </c>
      <c r="MR462" s="1657">
        <f t="shared" si="330"/>
        <v>0</v>
      </c>
      <c r="MS462" s="1657">
        <f t="shared" si="331"/>
        <v>0</v>
      </c>
      <c r="MT462" s="1657">
        <f t="shared" si="332"/>
        <v>0</v>
      </c>
      <c r="NP462" s="356" t="s">
        <v>4317</v>
      </c>
    </row>
    <row r="463" spans="1:380" ht="13.9" customHeight="1">
      <c r="A463" s="2645" t="str">
        <f t="shared" si="0"/>
        <v/>
      </c>
      <c r="B463" s="2664">
        <f>'Part V-Revenues &amp; Expenses'!B25</f>
        <v>0</v>
      </c>
      <c r="C463" s="2665">
        <f>'Part V-Revenues &amp; Expenses'!C25</f>
        <v>0</v>
      </c>
      <c r="D463" s="2666">
        <f>'Part V-Revenues &amp; Expenses'!D25</f>
        <v>0</v>
      </c>
      <c r="E463" s="2667">
        <f>'Part V-Revenues &amp; Expenses'!E25</f>
        <v>0</v>
      </c>
      <c r="F463" s="2667">
        <f>'Part V-Revenues &amp; Expenses'!F25</f>
        <v>0</v>
      </c>
      <c r="G463" s="2667">
        <f>'Part V-Revenues &amp; Expenses'!G25</f>
        <v>0</v>
      </c>
      <c r="H463" s="2667">
        <f>'Part V-Revenues &amp; Expenses'!H25</f>
        <v>0</v>
      </c>
      <c r="I463" s="2667">
        <f>'Part V-Revenues &amp; Expenses'!I25</f>
        <v>0</v>
      </c>
      <c r="J463" s="2667">
        <f>'Part V-Revenues &amp; Expenses'!J25</f>
        <v>0</v>
      </c>
      <c r="K463" s="2668">
        <f>'Part V-Revenues &amp; Expenses'!K25</f>
        <v>0</v>
      </c>
      <c r="L463" s="2669">
        <f t="shared" si="1"/>
        <v>0</v>
      </c>
      <c r="M463" s="2669">
        <f t="shared" si="2"/>
        <v>0</v>
      </c>
      <c r="N463" s="2538">
        <f>'Part V-Revenues &amp; Expenses'!N25</f>
        <v>0</v>
      </c>
      <c r="O463" s="1257">
        <f>'Part V-Revenues &amp; Expenses'!O25</f>
        <v>0</v>
      </c>
      <c r="P463" s="2538">
        <f>'Part V-Revenues &amp; Expenses'!P25</f>
        <v>0</v>
      </c>
      <c r="Q463" s="1804">
        <f>'Part V-Revenues &amp; Expenses'!Q25</f>
        <v>0</v>
      </c>
      <c r="R463" s="2670"/>
      <c r="S463" s="2671"/>
      <c r="T463" s="2672"/>
      <c r="U463" s="2672"/>
      <c r="V463" s="2672"/>
      <c r="W463" s="2672"/>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5" t="str">
        <f t="shared" si="213"/>
        <v/>
      </c>
      <c r="IA463" s="1805" t="str">
        <f t="shared" si="214"/>
        <v/>
      </c>
      <c r="IB463" s="1805" t="str">
        <f t="shared" si="215"/>
        <v/>
      </c>
      <c r="IC463" s="1805" t="str">
        <f t="shared" si="216"/>
        <v/>
      </c>
      <c r="ID463" s="1805" t="str">
        <f t="shared" si="217"/>
        <v/>
      </c>
      <c r="IE463" s="1805" t="str">
        <f t="shared" si="218"/>
        <v/>
      </c>
      <c r="IF463" s="1805" t="str">
        <f t="shared" si="219"/>
        <v/>
      </c>
      <c r="IG463" s="1805" t="str">
        <f t="shared" si="220"/>
        <v/>
      </c>
      <c r="IH463" s="1805" t="str">
        <f t="shared" si="221"/>
        <v/>
      </c>
      <c r="II463" s="1805" t="str">
        <f t="shared" si="222"/>
        <v/>
      </c>
      <c r="IJ463" s="1805" t="str">
        <f t="shared" si="223"/>
        <v/>
      </c>
      <c r="IK463" s="1805" t="str">
        <f t="shared" si="224"/>
        <v/>
      </c>
      <c r="IL463" s="1805" t="str">
        <f t="shared" si="225"/>
        <v/>
      </c>
      <c r="IM463" s="1805" t="str">
        <f t="shared" si="226"/>
        <v/>
      </c>
      <c r="IN463" s="1805" t="str">
        <f t="shared" si="227"/>
        <v/>
      </c>
      <c r="IO463" s="1805" t="str">
        <f t="shared" si="228"/>
        <v/>
      </c>
      <c r="IP463" s="1805" t="str">
        <f t="shared" si="229"/>
        <v/>
      </c>
      <c r="IQ463" s="1805" t="str">
        <f t="shared" si="230"/>
        <v/>
      </c>
      <c r="IR463" s="1805" t="str">
        <f t="shared" si="231"/>
        <v/>
      </c>
      <c r="IS463" s="1805" t="str">
        <f t="shared" si="232"/>
        <v/>
      </c>
      <c r="IT463" s="1805" t="str">
        <f t="shared" si="233"/>
        <v/>
      </c>
      <c r="IU463" s="1805" t="str">
        <f t="shared" si="234"/>
        <v/>
      </c>
      <c r="IV463" s="1805" t="str">
        <f t="shared" si="235"/>
        <v/>
      </c>
      <c r="IW463" s="1805" t="str">
        <f t="shared" si="236"/>
        <v/>
      </c>
      <c r="IX463" s="1805" t="str">
        <f t="shared" si="237"/>
        <v/>
      </c>
      <c r="IY463" s="1805" t="str">
        <f t="shared" si="238"/>
        <v/>
      </c>
      <c r="IZ463" s="1805" t="str">
        <f t="shared" si="239"/>
        <v/>
      </c>
      <c r="JA463" s="1805" t="str">
        <f t="shared" si="240"/>
        <v/>
      </c>
      <c r="JB463" s="1805" t="str">
        <f t="shared" si="241"/>
        <v/>
      </c>
      <c r="JC463" s="1805" t="str">
        <f t="shared" si="242"/>
        <v/>
      </c>
      <c r="JD463" s="1805" t="str">
        <f t="shared" si="243"/>
        <v/>
      </c>
      <c r="JE463" s="1805" t="str">
        <f t="shared" si="244"/>
        <v/>
      </c>
      <c r="JF463" s="1805" t="str">
        <f t="shared" si="245"/>
        <v/>
      </c>
      <c r="JG463" s="1805" t="str">
        <f t="shared" si="246"/>
        <v/>
      </c>
      <c r="JH463" s="1805" t="str">
        <f t="shared" si="247"/>
        <v/>
      </c>
      <c r="JI463" s="1805" t="str">
        <f t="shared" si="248"/>
        <v/>
      </c>
      <c r="JJ463" s="1805" t="str">
        <f t="shared" si="249"/>
        <v/>
      </c>
      <c r="JK463" s="1805" t="str">
        <f t="shared" si="250"/>
        <v/>
      </c>
      <c r="JL463" s="1805" t="str">
        <f t="shared" si="251"/>
        <v/>
      </c>
      <c r="JM463" s="1805" t="str">
        <f t="shared" si="252"/>
        <v/>
      </c>
      <c r="JN463" s="1805" t="str">
        <f t="shared" si="253"/>
        <v/>
      </c>
      <c r="JO463" s="1805" t="str">
        <f t="shared" si="254"/>
        <v/>
      </c>
      <c r="JP463" s="1805" t="str">
        <f t="shared" si="255"/>
        <v/>
      </c>
      <c r="JQ463" s="1805" t="str">
        <f t="shared" si="256"/>
        <v/>
      </c>
      <c r="JR463" s="1805" t="str">
        <f t="shared" si="257"/>
        <v/>
      </c>
      <c r="JS463" s="1805" t="str">
        <f t="shared" si="258"/>
        <v/>
      </c>
      <c r="JT463" s="1805" t="str">
        <f t="shared" si="259"/>
        <v/>
      </c>
      <c r="JU463" s="1805" t="str">
        <f t="shared" si="260"/>
        <v/>
      </c>
      <c r="JV463" s="1805" t="str">
        <f t="shared" si="261"/>
        <v/>
      </c>
      <c r="JW463" s="1805" t="str">
        <f t="shared" si="262"/>
        <v/>
      </c>
      <c r="JX463" s="1805" t="str">
        <f t="shared" si="263"/>
        <v/>
      </c>
      <c r="JY463" s="1805" t="str">
        <f t="shared" si="264"/>
        <v/>
      </c>
      <c r="JZ463" s="1805" t="str">
        <f t="shared" si="265"/>
        <v/>
      </c>
      <c r="KA463" s="1805" t="str">
        <f t="shared" si="266"/>
        <v/>
      </c>
      <c r="KB463" s="1805" t="str">
        <f t="shared" si="267"/>
        <v/>
      </c>
      <c r="KC463" s="1805" t="str">
        <f t="shared" si="268"/>
        <v/>
      </c>
      <c r="KD463" s="1805" t="str">
        <f t="shared" si="269"/>
        <v/>
      </c>
      <c r="KE463" s="1805" t="str">
        <f t="shared" si="270"/>
        <v/>
      </c>
      <c r="KF463" s="1805" t="str">
        <f t="shared" si="271"/>
        <v/>
      </c>
      <c r="KG463" s="1805" t="str">
        <f t="shared" si="272"/>
        <v/>
      </c>
      <c r="KH463" s="1805" t="str">
        <f t="shared" si="273"/>
        <v/>
      </c>
      <c r="KI463" s="1805" t="str">
        <f t="shared" si="274"/>
        <v/>
      </c>
      <c r="KJ463" s="1805" t="str">
        <f t="shared" si="275"/>
        <v/>
      </c>
      <c r="KK463" s="1805" t="str">
        <f t="shared" si="276"/>
        <v/>
      </c>
      <c r="KL463" s="1805" t="str">
        <f t="shared" si="277"/>
        <v/>
      </c>
      <c r="KM463" s="1805" t="str">
        <f t="shared" si="278"/>
        <v/>
      </c>
      <c r="KN463" s="1805" t="str">
        <f t="shared" si="279"/>
        <v/>
      </c>
      <c r="KO463" s="1805" t="str">
        <f t="shared" si="280"/>
        <v/>
      </c>
      <c r="KP463" s="1805" t="str">
        <f t="shared" si="281"/>
        <v/>
      </c>
      <c r="KQ463" s="1805" t="str">
        <f t="shared" si="282"/>
        <v/>
      </c>
      <c r="KR463" s="1805" t="str">
        <f t="shared" si="283"/>
        <v/>
      </c>
      <c r="KS463" s="1805" t="str">
        <f t="shared" si="284"/>
        <v/>
      </c>
      <c r="KT463" s="1805" t="str">
        <f t="shared" si="285"/>
        <v/>
      </c>
      <c r="KU463" s="1805" t="str">
        <f t="shared" si="286"/>
        <v/>
      </c>
      <c r="KV463" s="1805" t="str">
        <f t="shared" si="287"/>
        <v/>
      </c>
      <c r="KW463" s="1805" t="str">
        <f t="shared" si="288"/>
        <v/>
      </c>
      <c r="KX463" s="1805" t="str">
        <f t="shared" si="289"/>
        <v/>
      </c>
      <c r="KY463" s="1805" t="str">
        <f t="shared" si="290"/>
        <v/>
      </c>
      <c r="KZ463" s="1805" t="str">
        <f t="shared" si="291"/>
        <v/>
      </c>
      <c r="LA463" s="1805" t="str">
        <f t="shared" si="292"/>
        <v/>
      </c>
      <c r="LB463" s="1805" t="str">
        <f t="shared" si="293"/>
        <v/>
      </c>
      <c r="LC463" s="1805" t="str">
        <f t="shared" si="294"/>
        <v/>
      </c>
      <c r="LD463" s="1805" t="str">
        <f t="shared" si="295"/>
        <v/>
      </c>
      <c r="LE463" s="1805" t="str">
        <f t="shared" si="296"/>
        <v/>
      </c>
      <c r="LF463" s="1805" t="str">
        <f t="shared" si="297"/>
        <v/>
      </c>
      <c r="LG463" s="1794" t="str">
        <f t="shared" si="298"/>
        <v/>
      </c>
      <c r="LH463" s="1794" t="str">
        <f t="shared" si="299"/>
        <v/>
      </c>
      <c r="LI463" s="1794" t="str">
        <f t="shared" si="300"/>
        <v/>
      </c>
      <c r="LJ463" s="1794" t="str">
        <f t="shared" si="301"/>
        <v/>
      </c>
      <c r="LK463" s="1794"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7">
        <f t="shared" si="323"/>
        <v>0</v>
      </c>
      <c r="MG463" s="1657">
        <f t="shared" si="324"/>
        <v>0</v>
      </c>
      <c r="MH463" s="1657">
        <f t="shared" si="325"/>
        <v>0</v>
      </c>
      <c r="MI463" s="1657">
        <f t="shared" si="326"/>
        <v>0</v>
      </c>
      <c r="MJ463" s="1657">
        <f t="shared" si="327"/>
        <v>0</v>
      </c>
      <c r="MK463" s="1657">
        <f t="shared" si="333"/>
        <v>0</v>
      </c>
      <c r="ML463" s="1657">
        <f t="shared" si="334"/>
        <v>0</v>
      </c>
      <c r="MM463" s="1657">
        <f t="shared" si="335"/>
        <v>0</v>
      </c>
      <c r="MN463" s="1657">
        <f t="shared" si="336"/>
        <v>0</v>
      </c>
      <c r="MO463" s="1657">
        <f t="shared" si="337"/>
        <v>0</v>
      </c>
      <c r="MP463" s="1657">
        <f t="shared" si="328"/>
        <v>0</v>
      </c>
      <c r="MQ463" s="1657">
        <f t="shared" si="329"/>
        <v>0</v>
      </c>
      <c r="MR463" s="1657">
        <f t="shared" si="330"/>
        <v>0</v>
      </c>
      <c r="MS463" s="1657">
        <f t="shared" si="331"/>
        <v>0</v>
      </c>
      <c r="MT463" s="1657">
        <f t="shared" si="332"/>
        <v>0</v>
      </c>
      <c r="NP463" s="356" t="s">
        <v>4318</v>
      </c>
    </row>
    <row r="464" spans="1:380" ht="13.9" customHeight="1">
      <c r="A464" s="2645" t="str">
        <f t="shared" si="0"/>
        <v/>
      </c>
      <c r="B464" s="2664">
        <f>'Part V-Revenues &amp; Expenses'!B26</f>
        <v>0</v>
      </c>
      <c r="C464" s="2665">
        <f>'Part V-Revenues &amp; Expenses'!C26</f>
        <v>0</v>
      </c>
      <c r="D464" s="2666">
        <f>'Part V-Revenues &amp; Expenses'!D26</f>
        <v>0</v>
      </c>
      <c r="E464" s="2667">
        <f>'Part V-Revenues &amp; Expenses'!E26</f>
        <v>0</v>
      </c>
      <c r="F464" s="2667">
        <f>'Part V-Revenues &amp; Expenses'!F26</f>
        <v>0</v>
      </c>
      <c r="G464" s="2667">
        <f>'Part V-Revenues &amp; Expenses'!G26</f>
        <v>0</v>
      </c>
      <c r="H464" s="2667">
        <f>'Part V-Revenues &amp; Expenses'!H26</f>
        <v>0</v>
      </c>
      <c r="I464" s="2667">
        <f>'Part V-Revenues &amp; Expenses'!I26</f>
        <v>0</v>
      </c>
      <c r="J464" s="2667">
        <f>'Part V-Revenues &amp; Expenses'!J26</f>
        <v>0</v>
      </c>
      <c r="K464" s="2668">
        <f>'Part V-Revenues &amp; Expenses'!K26</f>
        <v>0</v>
      </c>
      <c r="L464" s="2669">
        <f t="shared" si="1"/>
        <v>0</v>
      </c>
      <c r="M464" s="2669">
        <f t="shared" si="2"/>
        <v>0</v>
      </c>
      <c r="N464" s="2538">
        <f>'Part V-Revenues &amp; Expenses'!N26</f>
        <v>0</v>
      </c>
      <c r="O464" s="1257">
        <f>'Part V-Revenues &amp; Expenses'!O26</f>
        <v>0</v>
      </c>
      <c r="P464" s="2538">
        <f>'Part V-Revenues &amp; Expenses'!P26</f>
        <v>0</v>
      </c>
      <c r="Q464" s="1804">
        <f>'Part V-Revenues &amp; Expenses'!Q26</f>
        <v>0</v>
      </c>
      <c r="R464" s="2670"/>
      <c r="S464" s="2671"/>
      <c r="T464" s="2672"/>
      <c r="U464" s="2672"/>
      <c r="V464" s="2672"/>
      <c r="W464" s="2672"/>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5" t="str">
        <f t="shared" si="213"/>
        <v/>
      </c>
      <c r="IA464" s="1805" t="str">
        <f t="shared" si="214"/>
        <v/>
      </c>
      <c r="IB464" s="1805" t="str">
        <f t="shared" si="215"/>
        <v/>
      </c>
      <c r="IC464" s="1805" t="str">
        <f t="shared" si="216"/>
        <v/>
      </c>
      <c r="ID464" s="1805" t="str">
        <f t="shared" si="217"/>
        <v/>
      </c>
      <c r="IE464" s="1805" t="str">
        <f t="shared" si="218"/>
        <v/>
      </c>
      <c r="IF464" s="1805" t="str">
        <f t="shared" si="219"/>
        <v/>
      </c>
      <c r="IG464" s="1805" t="str">
        <f t="shared" si="220"/>
        <v/>
      </c>
      <c r="IH464" s="1805" t="str">
        <f t="shared" si="221"/>
        <v/>
      </c>
      <c r="II464" s="1805" t="str">
        <f t="shared" si="222"/>
        <v/>
      </c>
      <c r="IJ464" s="1805" t="str">
        <f t="shared" si="223"/>
        <v/>
      </c>
      <c r="IK464" s="1805" t="str">
        <f t="shared" si="224"/>
        <v/>
      </c>
      <c r="IL464" s="1805" t="str">
        <f t="shared" si="225"/>
        <v/>
      </c>
      <c r="IM464" s="1805" t="str">
        <f t="shared" si="226"/>
        <v/>
      </c>
      <c r="IN464" s="1805" t="str">
        <f t="shared" si="227"/>
        <v/>
      </c>
      <c r="IO464" s="1805" t="str">
        <f t="shared" si="228"/>
        <v/>
      </c>
      <c r="IP464" s="1805" t="str">
        <f t="shared" si="229"/>
        <v/>
      </c>
      <c r="IQ464" s="1805" t="str">
        <f t="shared" si="230"/>
        <v/>
      </c>
      <c r="IR464" s="1805" t="str">
        <f t="shared" si="231"/>
        <v/>
      </c>
      <c r="IS464" s="1805" t="str">
        <f t="shared" si="232"/>
        <v/>
      </c>
      <c r="IT464" s="1805" t="str">
        <f t="shared" si="233"/>
        <v/>
      </c>
      <c r="IU464" s="1805" t="str">
        <f t="shared" si="234"/>
        <v/>
      </c>
      <c r="IV464" s="1805" t="str">
        <f t="shared" si="235"/>
        <v/>
      </c>
      <c r="IW464" s="1805" t="str">
        <f t="shared" si="236"/>
        <v/>
      </c>
      <c r="IX464" s="1805" t="str">
        <f t="shared" si="237"/>
        <v/>
      </c>
      <c r="IY464" s="1805" t="str">
        <f t="shared" si="238"/>
        <v/>
      </c>
      <c r="IZ464" s="1805" t="str">
        <f t="shared" si="239"/>
        <v/>
      </c>
      <c r="JA464" s="1805" t="str">
        <f t="shared" si="240"/>
        <v/>
      </c>
      <c r="JB464" s="1805" t="str">
        <f t="shared" si="241"/>
        <v/>
      </c>
      <c r="JC464" s="1805" t="str">
        <f t="shared" si="242"/>
        <v/>
      </c>
      <c r="JD464" s="1805" t="str">
        <f t="shared" si="243"/>
        <v/>
      </c>
      <c r="JE464" s="1805" t="str">
        <f t="shared" si="244"/>
        <v/>
      </c>
      <c r="JF464" s="1805" t="str">
        <f t="shared" si="245"/>
        <v/>
      </c>
      <c r="JG464" s="1805" t="str">
        <f t="shared" si="246"/>
        <v/>
      </c>
      <c r="JH464" s="1805" t="str">
        <f t="shared" si="247"/>
        <v/>
      </c>
      <c r="JI464" s="1805" t="str">
        <f t="shared" si="248"/>
        <v/>
      </c>
      <c r="JJ464" s="1805" t="str">
        <f t="shared" si="249"/>
        <v/>
      </c>
      <c r="JK464" s="1805" t="str">
        <f t="shared" si="250"/>
        <v/>
      </c>
      <c r="JL464" s="1805" t="str">
        <f t="shared" si="251"/>
        <v/>
      </c>
      <c r="JM464" s="1805" t="str">
        <f t="shared" si="252"/>
        <v/>
      </c>
      <c r="JN464" s="1805" t="str">
        <f t="shared" si="253"/>
        <v/>
      </c>
      <c r="JO464" s="1805" t="str">
        <f t="shared" si="254"/>
        <v/>
      </c>
      <c r="JP464" s="1805" t="str">
        <f t="shared" si="255"/>
        <v/>
      </c>
      <c r="JQ464" s="1805" t="str">
        <f t="shared" si="256"/>
        <v/>
      </c>
      <c r="JR464" s="1805" t="str">
        <f t="shared" si="257"/>
        <v/>
      </c>
      <c r="JS464" s="1805" t="str">
        <f t="shared" si="258"/>
        <v/>
      </c>
      <c r="JT464" s="1805" t="str">
        <f t="shared" si="259"/>
        <v/>
      </c>
      <c r="JU464" s="1805" t="str">
        <f t="shared" si="260"/>
        <v/>
      </c>
      <c r="JV464" s="1805" t="str">
        <f t="shared" si="261"/>
        <v/>
      </c>
      <c r="JW464" s="1805" t="str">
        <f t="shared" si="262"/>
        <v/>
      </c>
      <c r="JX464" s="1805" t="str">
        <f t="shared" si="263"/>
        <v/>
      </c>
      <c r="JY464" s="1805" t="str">
        <f t="shared" si="264"/>
        <v/>
      </c>
      <c r="JZ464" s="1805" t="str">
        <f t="shared" si="265"/>
        <v/>
      </c>
      <c r="KA464" s="1805" t="str">
        <f t="shared" si="266"/>
        <v/>
      </c>
      <c r="KB464" s="1805" t="str">
        <f t="shared" si="267"/>
        <v/>
      </c>
      <c r="KC464" s="1805" t="str">
        <f t="shared" si="268"/>
        <v/>
      </c>
      <c r="KD464" s="1805" t="str">
        <f t="shared" si="269"/>
        <v/>
      </c>
      <c r="KE464" s="1805" t="str">
        <f t="shared" si="270"/>
        <v/>
      </c>
      <c r="KF464" s="1805" t="str">
        <f t="shared" si="271"/>
        <v/>
      </c>
      <c r="KG464" s="1805" t="str">
        <f t="shared" si="272"/>
        <v/>
      </c>
      <c r="KH464" s="1805" t="str">
        <f t="shared" si="273"/>
        <v/>
      </c>
      <c r="KI464" s="1805" t="str">
        <f t="shared" si="274"/>
        <v/>
      </c>
      <c r="KJ464" s="1805" t="str">
        <f t="shared" si="275"/>
        <v/>
      </c>
      <c r="KK464" s="1805" t="str">
        <f t="shared" si="276"/>
        <v/>
      </c>
      <c r="KL464" s="1805" t="str">
        <f t="shared" si="277"/>
        <v/>
      </c>
      <c r="KM464" s="1805" t="str">
        <f t="shared" si="278"/>
        <v/>
      </c>
      <c r="KN464" s="1805" t="str">
        <f t="shared" si="279"/>
        <v/>
      </c>
      <c r="KO464" s="1805" t="str">
        <f t="shared" si="280"/>
        <v/>
      </c>
      <c r="KP464" s="1805" t="str">
        <f t="shared" si="281"/>
        <v/>
      </c>
      <c r="KQ464" s="1805" t="str">
        <f t="shared" si="282"/>
        <v/>
      </c>
      <c r="KR464" s="1805" t="str">
        <f t="shared" si="283"/>
        <v/>
      </c>
      <c r="KS464" s="1805" t="str">
        <f t="shared" si="284"/>
        <v/>
      </c>
      <c r="KT464" s="1805" t="str">
        <f t="shared" si="285"/>
        <v/>
      </c>
      <c r="KU464" s="1805" t="str">
        <f t="shared" si="286"/>
        <v/>
      </c>
      <c r="KV464" s="1805" t="str">
        <f t="shared" si="287"/>
        <v/>
      </c>
      <c r="KW464" s="1805" t="str">
        <f t="shared" si="288"/>
        <v/>
      </c>
      <c r="KX464" s="1805" t="str">
        <f t="shared" si="289"/>
        <v/>
      </c>
      <c r="KY464" s="1805" t="str">
        <f t="shared" si="290"/>
        <v/>
      </c>
      <c r="KZ464" s="1805" t="str">
        <f t="shared" si="291"/>
        <v/>
      </c>
      <c r="LA464" s="1805" t="str">
        <f t="shared" si="292"/>
        <v/>
      </c>
      <c r="LB464" s="1805" t="str">
        <f t="shared" si="293"/>
        <v/>
      </c>
      <c r="LC464" s="1805" t="str">
        <f t="shared" si="294"/>
        <v/>
      </c>
      <c r="LD464" s="1805" t="str">
        <f t="shared" si="295"/>
        <v/>
      </c>
      <c r="LE464" s="1805" t="str">
        <f t="shared" si="296"/>
        <v/>
      </c>
      <c r="LF464" s="1805" t="str">
        <f t="shared" si="297"/>
        <v/>
      </c>
      <c r="LG464" s="1794" t="str">
        <f t="shared" si="298"/>
        <v/>
      </c>
      <c r="LH464" s="1794" t="str">
        <f t="shared" si="299"/>
        <v/>
      </c>
      <c r="LI464" s="1794" t="str">
        <f t="shared" si="300"/>
        <v/>
      </c>
      <c r="LJ464" s="1794" t="str">
        <f t="shared" si="301"/>
        <v/>
      </c>
      <c r="LK464" s="1794"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7">
        <f t="shared" si="323"/>
        <v>0</v>
      </c>
      <c r="MG464" s="1657">
        <f t="shared" si="324"/>
        <v>0</v>
      </c>
      <c r="MH464" s="1657">
        <f t="shared" si="325"/>
        <v>0</v>
      </c>
      <c r="MI464" s="1657">
        <f t="shared" si="326"/>
        <v>0</v>
      </c>
      <c r="MJ464" s="1657">
        <f t="shared" si="327"/>
        <v>0</v>
      </c>
      <c r="MK464" s="1657">
        <f t="shared" si="333"/>
        <v>0</v>
      </c>
      <c r="ML464" s="1657">
        <f t="shared" si="334"/>
        <v>0</v>
      </c>
      <c r="MM464" s="1657">
        <f t="shared" si="335"/>
        <v>0</v>
      </c>
      <c r="MN464" s="1657">
        <f t="shared" si="336"/>
        <v>0</v>
      </c>
      <c r="MO464" s="1657">
        <f t="shared" si="337"/>
        <v>0</v>
      </c>
      <c r="MP464" s="1657">
        <f t="shared" si="328"/>
        <v>0</v>
      </c>
      <c r="MQ464" s="1657">
        <f t="shared" si="329"/>
        <v>0</v>
      </c>
      <c r="MR464" s="1657">
        <f t="shared" si="330"/>
        <v>0</v>
      </c>
      <c r="MS464" s="1657">
        <f t="shared" si="331"/>
        <v>0</v>
      </c>
      <c r="MT464" s="1657">
        <f t="shared" si="332"/>
        <v>0</v>
      </c>
      <c r="NP464" s="356" t="s">
        <v>4319</v>
      </c>
    </row>
    <row r="465" spans="1:380" ht="13.9" customHeight="1">
      <c r="A465" s="2645" t="str">
        <f t="shared" si="0"/>
        <v/>
      </c>
      <c r="B465" s="2664">
        <f>'Part V-Revenues &amp; Expenses'!B27</f>
        <v>0</v>
      </c>
      <c r="C465" s="2665">
        <f>'Part V-Revenues &amp; Expenses'!C27</f>
        <v>0</v>
      </c>
      <c r="D465" s="2666">
        <f>'Part V-Revenues &amp; Expenses'!D27</f>
        <v>0</v>
      </c>
      <c r="E465" s="2667">
        <f>'Part V-Revenues &amp; Expenses'!E27</f>
        <v>0</v>
      </c>
      <c r="F465" s="2667">
        <f>'Part V-Revenues &amp; Expenses'!F27</f>
        <v>0</v>
      </c>
      <c r="G465" s="2667">
        <f>'Part V-Revenues &amp; Expenses'!G27</f>
        <v>0</v>
      </c>
      <c r="H465" s="2667">
        <f>'Part V-Revenues &amp; Expenses'!H27</f>
        <v>0</v>
      </c>
      <c r="I465" s="2667">
        <f>'Part V-Revenues &amp; Expenses'!I27</f>
        <v>0</v>
      </c>
      <c r="J465" s="2667">
        <f>'Part V-Revenues &amp; Expenses'!J27</f>
        <v>0</v>
      </c>
      <c r="K465" s="2668">
        <f>'Part V-Revenues &amp; Expenses'!K27</f>
        <v>0</v>
      </c>
      <c r="L465" s="2669">
        <f t="shared" si="1"/>
        <v>0</v>
      </c>
      <c r="M465" s="2669">
        <f t="shared" si="2"/>
        <v>0</v>
      </c>
      <c r="N465" s="2538">
        <f>'Part V-Revenues &amp; Expenses'!N27</f>
        <v>0</v>
      </c>
      <c r="O465" s="1257">
        <f>'Part V-Revenues &amp; Expenses'!O27</f>
        <v>0</v>
      </c>
      <c r="P465" s="2538">
        <f>'Part V-Revenues &amp; Expenses'!P27</f>
        <v>0</v>
      </c>
      <c r="Q465" s="1804">
        <f>'Part V-Revenues &amp; Expenses'!Q27</f>
        <v>0</v>
      </c>
      <c r="R465" s="2670"/>
      <c r="S465" s="2671"/>
      <c r="T465" s="2672"/>
      <c r="U465" s="2672"/>
      <c r="V465" s="2672"/>
      <c r="W465" s="2672"/>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5" t="str">
        <f t="shared" si="213"/>
        <v/>
      </c>
      <c r="IA465" s="1805" t="str">
        <f t="shared" si="214"/>
        <v/>
      </c>
      <c r="IB465" s="1805" t="str">
        <f t="shared" si="215"/>
        <v/>
      </c>
      <c r="IC465" s="1805" t="str">
        <f t="shared" si="216"/>
        <v/>
      </c>
      <c r="ID465" s="1805" t="str">
        <f t="shared" si="217"/>
        <v/>
      </c>
      <c r="IE465" s="1805" t="str">
        <f t="shared" si="218"/>
        <v/>
      </c>
      <c r="IF465" s="1805" t="str">
        <f t="shared" si="219"/>
        <v/>
      </c>
      <c r="IG465" s="1805" t="str">
        <f t="shared" si="220"/>
        <v/>
      </c>
      <c r="IH465" s="1805" t="str">
        <f t="shared" si="221"/>
        <v/>
      </c>
      <c r="II465" s="1805" t="str">
        <f t="shared" si="222"/>
        <v/>
      </c>
      <c r="IJ465" s="1805" t="str">
        <f t="shared" si="223"/>
        <v/>
      </c>
      <c r="IK465" s="1805" t="str">
        <f t="shared" si="224"/>
        <v/>
      </c>
      <c r="IL465" s="1805" t="str">
        <f t="shared" si="225"/>
        <v/>
      </c>
      <c r="IM465" s="1805" t="str">
        <f t="shared" si="226"/>
        <v/>
      </c>
      <c r="IN465" s="1805" t="str">
        <f t="shared" si="227"/>
        <v/>
      </c>
      <c r="IO465" s="1805" t="str">
        <f t="shared" si="228"/>
        <v/>
      </c>
      <c r="IP465" s="1805" t="str">
        <f t="shared" si="229"/>
        <v/>
      </c>
      <c r="IQ465" s="1805" t="str">
        <f t="shared" si="230"/>
        <v/>
      </c>
      <c r="IR465" s="1805" t="str">
        <f t="shared" si="231"/>
        <v/>
      </c>
      <c r="IS465" s="1805" t="str">
        <f t="shared" si="232"/>
        <v/>
      </c>
      <c r="IT465" s="1805" t="str">
        <f t="shared" si="233"/>
        <v/>
      </c>
      <c r="IU465" s="1805" t="str">
        <f t="shared" si="234"/>
        <v/>
      </c>
      <c r="IV465" s="1805" t="str">
        <f t="shared" si="235"/>
        <v/>
      </c>
      <c r="IW465" s="1805" t="str">
        <f t="shared" si="236"/>
        <v/>
      </c>
      <c r="IX465" s="1805" t="str">
        <f t="shared" si="237"/>
        <v/>
      </c>
      <c r="IY465" s="1805" t="str">
        <f t="shared" si="238"/>
        <v/>
      </c>
      <c r="IZ465" s="1805" t="str">
        <f t="shared" si="239"/>
        <v/>
      </c>
      <c r="JA465" s="1805" t="str">
        <f t="shared" si="240"/>
        <v/>
      </c>
      <c r="JB465" s="1805" t="str">
        <f t="shared" si="241"/>
        <v/>
      </c>
      <c r="JC465" s="1805" t="str">
        <f t="shared" si="242"/>
        <v/>
      </c>
      <c r="JD465" s="1805" t="str">
        <f t="shared" si="243"/>
        <v/>
      </c>
      <c r="JE465" s="1805" t="str">
        <f t="shared" si="244"/>
        <v/>
      </c>
      <c r="JF465" s="1805" t="str">
        <f t="shared" si="245"/>
        <v/>
      </c>
      <c r="JG465" s="1805" t="str">
        <f t="shared" si="246"/>
        <v/>
      </c>
      <c r="JH465" s="1805" t="str">
        <f t="shared" si="247"/>
        <v/>
      </c>
      <c r="JI465" s="1805" t="str">
        <f t="shared" si="248"/>
        <v/>
      </c>
      <c r="JJ465" s="1805" t="str">
        <f t="shared" si="249"/>
        <v/>
      </c>
      <c r="JK465" s="1805" t="str">
        <f t="shared" si="250"/>
        <v/>
      </c>
      <c r="JL465" s="1805" t="str">
        <f t="shared" si="251"/>
        <v/>
      </c>
      <c r="JM465" s="1805" t="str">
        <f t="shared" si="252"/>
        <v/>
      </c>
      <c r="JN465" s="1805" t="str">
        <f t="shared" si="253"/>
        <v/>
      </c>
      <c r="JO465" s="1805" t="str">
        <f t="shared" si="254"/>
        <v/>
      </c>
      <c r="JP465" s="1805" t="str">
        <f t="shared" si="255"/>
        <v/>
      </c>
      <c r="JQ465" s="1805" t="str">
        <f t="shared" si="256"/>
        <v/>
      </c>
      <c r="JR465" s="1805" t="str">
        <f t="shared" si="257"/>
        <v/>
      </c>
      <c r="JS465" s="1805" t="str">
        <f t="shared" si="258"/>
        <v/>
      </c>
      <c r="JT465" s="1805" t="str">
        <f t="shared" si="259"/>
        <v/>
      </c>
      <c r="JU465" s="1805" t="str">
        <f t="shared" si="260"/>
        <v/>
      </c>
      <c r="JV465" s="1805" t="str">
        <f t="shared" si="261"/>
        <v/>
      </c>
      <c r="JW465" s="1805" t="str">
        <f t="shared" si="262"/>
        <v/>
      </c>
      <c r="JX465" s="1805" t="str">
        <f t="shared" si="263"/>
        <v/>
      </c>
      <c r="JY465" s="1805" t="str">
        <f t="shared" si="264"/>
        <v/>
      </c>
      <c r="JZ465" s="1805" t="str">
        <f t="shared" si="265"/>
        <v/>
      </c>
      <c r="KA465" s="1805" t="str">
        <f t="shared" si="266"/>
        <v/>
      </c>
      <c r="KB465" s="1805" t="str">
        <f t="shared" si="267"/>
        <v/>
      </c>
      <c r="KC465" s="1805" t="str">
        <f t="shared" si="268"/>
        <v/>
      </c>
      <c r="KD465" s="1805" t="str">
        <f t="shared" si="269"/>
        <v/>
      </c>
      <c r="KE465" s="1805" t="str">
        <f t="shared" si="270"/>
        <v/>
      </c>
      <c r="KF465" s="1805" t="str">
        <f t="shared" si="271"/>
        <v/>
      </c>
      <c r="KG465" s="1805" t="str">
        <f t="shared" si="272"/>
        <v/>
      </c>
      <c r="KH465" s="1805" t="str">
        <f t="shared" si="273"/>
        <v/>
      </c>
      <c r="KI465" s="1805" t="str">
        <f t="shared" si="274"/>
        <v/>
      </c>
      <c r="KJ465" s="1805" t="str">
        <f t="shared" si="275"/>
        <v/>
      </c>
      <c r="KK465" s="1805" t="str">
        <f t="shared" si="276"/>
        <v/>
      </c>
      <c r="KL465" s="1805" t="str">
        <f t="shared" si="277"/>
        <v/>
      </c>
      <c r="KM465" s="1805" t="str">
        <f t="shared" si="278"/>
        <v/>
      </c>
      <c r="KN465" s="1805" t="str">
        <f t="shared" si="279"/>
        <v/>
      </c>
      <c r="KO465" s="1805" t="str">
        <f t="shared" si="280"/>
        <v/>
      </c>
      <c r="KP465" s="1805" t="str">
        <f t="shared" si="281"/>
        <v/>
      </c>
      <c r="KQ465" s="1805" t="str">
        <f t="shared" si="282"/>
        <v/>
      </c>
      <c r="KR465" s="1805" t="str">
        <f t="shared" si="283"/>
        <v/>
      </c>
      <c r="KS465" s="1805" t="str">
        <f t="shared" si="284"/>
        <v/>
      </c>
      <c r="KT465" s="1805" t="str">
        <f t="shared" si="285"/>
        <v/>
      </c>
      <c r="KU465" s="1805" t="str">
        <f t="shared" si="286"/>
        <v/>
      </c>
      <c r="KV465" s="1805" t="str">
        <f t="shared" si="287"/>
        <v/>
      </c>
      <c r="KW465" s="1805" t="str">
        <f t="shared" si="288"/>
        <v/>
      </c>
      <c r="KX465" s="1805" t="str">
        <f t="shared" si="289"/>
        <v/>
      </c>
      <c r="KY465" s="1805" t="str">
        <f t="shared" si="290"/>
        <v/>
      </c>
      <c r="KZ465" s="1805" t="str">
        <f t="shared" si="291"/>
        <v/>
      </c>
      <c r="LA465" s="1805" t="str">
        <f t="shared" si="292"/>
        <v/>
      </c>
      <c r="LB465" s="1805" t="str">
        <f t="shared" si="293"/>
        <v/>
      </c>
      <c r="LC465" s="1805" t="str">
        <f t="shared" si="294"/>
        <v/>
      </c>
      <c r="LD465" s="1805" t="str">
        <f t="shared" si="295"/>
        <v/>
      </c>
      <c r="LE465" s="1805" t="str">
        <f t="shared" si="296"/>
        <v/>
      </c>
      <c r="LF465" s="1805" t="str">
        <f t="shared" si="297"/>
        <v/>
      </c>
      <c r="LG465" s="1794" t="str">
        <f t="shared" si="298"/>
        <v/>
      </c>
      <c r="LH465" s="1794" t="str">
        <f t="shared" si="299"/>
        <v/>
      </c>
      <c r="LI465" s="1794" t="str">
        <f t="shared" si="300"/>
        <v/>
      </c>
      <c r="LJ465" s="1794" t="str">
        <f t="shared" si="301"/>
        <v/>
      </c>
      <c r="LK465" s="1794"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7">
        <f t="shared" si="323"/>
        <v>0</v>
      </c>
      <c r="MG465" s="1657">
        <f t="shared" si="324"/>
        <v>0</v>
      </c>
      <c r="MH465" s="1657">
        <f t="shared" si="325"/>
        <v>0</v>
      </c>
      <c r="MI465" s="1657">
        <f t="shared" si="326"/>
        <v>0</v>
      </c>
      <c r="MJ465" s="1657">
        <f t="shared" si="327"/>
        <v>0</v>
      </c>
      <c r="MK465" s="1657">
        <f t="shared" si="333"/>
        <v>0</v>
      </c>
      <c r="ML465" s="1657">
        <f t="shared" si="334"/>
        <v>0</v>
      </c>
      <c r="MM465" s="1657">
        <f t="shared" si="335"/>
        <v>0</v>
      </c>
      <c r="MN465" s="1657">
        <f t="shared" si="336"/>
        <v>0</v>
      </c>
      <c r="MO465" s="1657">
        <f t="shared" si="337"/>
        <v>0</v>
      </c>
      <c r="MP465" s="1657">
        <f t="shared" si="328"/>
        <v>0</v>
      </c>
      <c r="MQ465" s="1657">
        <f t="shared" si="329"/>
        <v>0</v>
      </c>
      <c r="MR465" s="1657">
        <f t="shared" si="330"/>
        <v>0</v>
      </c>
      <c r="MS465" s="1657">
        <f t="shared" si="331"/>
        <v>0</v>
      </c>
      <c r="MT465" s="1657">
        <f t="shared" si="332"/>
        <v>0</v>
      </c>
      <c r="NP465" s="356" t="s">
        <v>4320</v>
      </c>
    </row>
    <row r="466" spans="1:380" ht="13.9" customHeight="1">
      <c r="A466" s="2645" t="str">
        <f t="shared" si="0"/>
        <v/>
      </c>
      <c r="B466" s="2664">
        <f>'Part V-Revenues &amp; Expenses'!B28</f>
        <v>0</v>
      </c>
      <c r="C466" s="2665">
        <f>'Part V-Revenues &amp; Expenses'!C28</f>
        <v>0</v>
      </c>
      <c r="D466" s="2666">
        <f>'Part V-Revenues &amp; Expenses'!D28</f>
        <v>0</v>
      </c>
      <c r="E466" s="2667">
        <f>'Part V-Revenues &amp; Expenses'!E28</f>
        <v>0</v>
      </c>
      <c r="F466" s="2667">
        <f>'Part V-Revenues &amp; Expenses'!F28</f>
        <v>0</v>
      </c>
      <c r="G466" s="2667">
        <f>'Part V-Revenues &amp; Expenses'!G28</f>
        <v>0</v>
      </c>
      <c r="H466" s="2667">
        <f>'Part V-Revenues &amp; Expenses'!H28</f>
        <v>0</v>
      </c>
      <c r="I466" s="2667">
        <f>'Part V-Revenues &amp; Expenses'!I28</f>
        <v>0</v>
      </c>
      <c r="J466" s="2667">
        <f>'Part V-Revenues &amp; Expenses'!J28</f>
        <v>0</v>
      </c>
      <c r="K466" s="2668">
        <f>'Part V-Revenues &amp; Expenses'!K28</f>
        <v>0</v>
      </c>
      <c r="L466" s="2669">
        <f t="shared" si="1"/>
        <v>0</v>
      </c>
      <c r="M466" s="2669">
        <f t="shared" si="2"/>
        <v>0</v>
      </c>
      <c r="N466" s="2538">
        <f>'Part V-Revenues &amp; Expenses'!N28</f>
        <v>0</v>
      </c>
      <c r="O466" s="1257">
        <f>'Part V-Revenues &amp; Expenses'!O28</f>
        <v>0</v>
      </c>
      <c r="P466" s="2538">
        <f>'Part V-Revenues &amp; Expenses'!P28</f>
        <v>0</v>
      </c>
      <c r="Q466" s="1804">
        <f>'Part V-Revenues &amp; Expenses'!Q28</f>
        <v>0</v>
      </c>
      <c r="R466" s="2670"/>
      <c r="S466" s="2671"/>
      <c r="T466" s="2672"/>
      <c r="U466" s="2672"/>
      <c r="V466" s="2672"/>
      <c r="W466" s="2672"/>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5" t="str">
        <f t="shared" si="213"/>
        <v/>
      </c>
      <c r="IA466" s="1805" t="str">
        <f t="shared" si="214"/>
        <v/>
      </c>
      <c r="IB466" s="1805" t="str">
        <f t="shared" si="215"/>
        <v/>
      </c>
      <c r="IC466" s="1805" t="str">
        <f t="shared" si="216"/>
        <v/>
      </c>
      <c r="ID466" s="1805" t="str">
        <f t="shared" si="217"/>
        <v/>
      </c>
      <c r="IE466" s="1805" t="str">
        <f t="shared" si="218"/>
        <v/>
      </c>
      <c r="IF466" s="1805" t="str">
        <f t="shared" si="219"/>
        <v/>
      </c>
      <c r="IG466" s="1805" t="str">
        <f t="shared" si="220"/>
        <v/>
      </c>
      <c r="IH466" s="1805" t="str">
        <f t="shared" si="221"/>
        <v/>
      </c>
      <c r="II466" s="1805" t="str">
        <f t="shared" si="222"/>
        <v/>
      </c>
      <c r="IJ466" s="1805" t="str">
        <f t="shared" si="223"/>
        <v/>
      </c>
      <c r="IK466" s="1805" t="str">
        <f t="shared" si="224"/>
        <v/>
      </c>
      <c r="IL466" s="1805" t="str">
        <f t="shared" si="225"/>
        <v/>
      </c>
      <c r="IM466" s="1805" t="str">
        <f t="shared" si="226"/>
        <v/>
      </c>
      <c r="IN466" s="1805" t="str">
        <f t="shared" si="227"/>
        <v/>
      </c>
      <c r="IO466" s="1805" t="str">
        <f t="shared" si="228"/>
        <v/>
      </c>
      <c r="IP466" s="1805" t="str">
        <f t="shared" si="229"/>
        <v/>
      </c>
      <c r="IQ466" s="1805" t="str">
        <f t="shared" si="230"/>
        <v/>
      </c>
      <c r="IR466" s="1805" t="str">
        <f t="shared" si="231"/>
        <v/>
      </c>
      <c r="IS466" s="1805" t="str">
        <f t="shared" si="232"/>
        <v/>
      </c>
      <c r="IT466" s="1805" t="str">
        <f t="shared" si="233"/>
        <v/>
      </c>
      <c r="IU466" s="1805" t="str">
        <f t="shared" si="234"/>
        <v/>
      </c>
      <c r="IV466" s="1805" t="str">
        <f t="shared" si="235"/>
        <v/>
      </c>
      <c r="IW466" s="1805" t="str">
        <f t="shared" si="236"/>
        <v/>
      </c>
      <c r="IX466" s="1805" t="str">
        <f t="shared" si="237"/>
        <v/>
      </c>
      <c r="IY466" s="1805" t="str">
        <f t="shared" si="238"/>
        <v/>
      </c>
      <c r="IZ466" s="1805" t="str">
        <f t="shared" si="239"/>
        <v/>
      </c>
      <c r="JA466" s="1805" t="str">
        <f t="shared" si="240"/>
        <v/>
      </c>
      <c r="JB466" s="1805" t="str">
        <f t="shared" si="241"/>
        <v/>
      </c>
      <c r="JC466" s="1805" t="str">
        <f t="shared" si="242"/>
        <v/>
      </c>
      <c r="JD466" s="1805" t="str">
        <f t="shared" si="243"/>
        <v/>
      </c>
      <c r="JE466" s="1805" t="str">
        <f t="shared" si="244"/>
        <v/>
      </c>
      <c r="JF466" s="1805" t="str">
        <f t="shared" si="245"/>
        <v/>
      </c>
      <c r="JG466" s="1805" t="str">
        <f t="shared" si="246"/>
        <v/>
      </c>
      <c r="JH466" s="1805" t="str">
        <f t="shared" si="247"/>
        <v/>
      </c>
      <c r="JI466" s="1805" t="str">
        <f t="shared" si="248"/>
        <v/>
      </c>
      <c r="JJ466" s="1805" t="str">
        <f t="shared" si="249"/>
        <v/>
      </c>
      <c r="JK466" s="1805" t="str">
        <f t="shared" si="250"/>
        <v/>
      </c>
      <c r="JL466" s="1805" t="str">
        <f t="shared" si="251"/>
        <v/>
      </c>
      <c r="JM466" s="1805" t="str">
        <f t="shared" si="252"/>
        <v/>
      </c>
      <c r="JN466" s="1805" t="str">
        <f t="shared" si="253"/>
        <v/>
      </c>
      <c r="JO466" s="1805" t="str">
        <f t="shared" si="254"/>
        <v/>
      </c>
      <c r="JP466" s="1805" t="str">
        <f t="shared" si="255"/>
        <v/>
      </c>
      <c r="JQ466" s="1805" t="str">
        <f t="shared" si="256"/>
        <v/>
      </c>
      <c r="JR466" s="1805" t="str">
        <f t="shared" si="257"/>
        <v/>
      </c>
      <c r="JS466" s="1805" t="str">
        <f t="shared" si="258"/>
        <v/>
      </c>
      <c r="JT466" s="1805" t="str">
        <f t="shared" si="259"/>
        <v/>
      </c>
      <c r="JU466" s="1805" t="str">
        <f t="shared" si="260"/>
        <v/>
      </c>
      <c r="JV466" s="1805" t="str">
        <f t="shared" si="261"/>
        <v/>
      </c>
      <c r="JW466" s="1805" t="str">
        <f t="shared" si="262"/>
        <v/>
      </c>
      <c r="JX466" s="1805" t="str">
        <f t="shared" si="263"/>
        <v/>
      </c>
      <c r="JY466" s="1805" t="str">
        <f t="shared" si="264"/>
        <v/>
      </c>
      <c r="JZ466" s="1805" t="str">
        <f t="shared" si="265"/>
        <v/>
      </c>
      <c r="KA466" s="1805" t="str">
        <f t="shared" si="266"/>
        <v/>
      </c>
      <c r="KB466" s="1805" t="str">
        <f t="shared" si="267"/>
        <v/>
      </c>
      <c r="KC466" s="1805" t="str">
        <f t="shared" si="268"/>
        <v/>
      </c>
      <c r="KD466" s="1805" t="str">
        <f t="shared" si="269"/>
        <v/>
      </c>
      <c r="KE466" s="1805" t="str">
        <f t="shared" si="270"/>
        <v/>
      </c>
      <c r="KF466" s="1805" t="str">
        <f t="shared" si="271"/>
        <v/>
      </c>
      <c r="KG466" s="1805" t="str">
        <f t="shared" si="272"/>
        <v/>
      </c>
      <c r="KH466" s="1805" t="str">
        <f t="shared" si="273"/>
        <v/>
      </c>
      <c r="KI466" s="1805" t="str">
        <f t="shared" si="274"/>
        <v/>
      </c>
      <c r="KJ466" s="1805" t="str">
        <f t="shared" si="275"/>
        <v/>
      </c>
      <c r="KK466" s="1805" t="str">
        <f t="shared" si="276"/>
        <v/>
      </c>
      <c r="KL466" s="1805" t="str">
        <f t="shared" si="277"/>
        <v/>
      </c>
      <c r="KM466" s="1805" t="str">
        <f t="shared" si="278"/>
        <v/>
      </c>
      <c r="KN466" s="1805" t="str">
        <f t="shared" si="279"/>
        <v/>
      </c>
      <c r="KO466" s="1805" t="str">
        <f t="shared" si="280"/>
        <v/>
      </c>
      <c r="KP466" s="1805" t="str">
        <f t="shared" si="281"/>
        <v/>
      </c>
      <c r="KQ466" s="1805" t="str">
        <f t="shared" si="282"/>
        <v/>
      </c>
      <c r="KR466" s="1805" t="str">
        <f t="shared" si="283"/>
        <v/>
      </c>
      <c r="KS466" s="1805" t="str">
        <f t="shared" si="284"/>
        <v/>
      </c>
      <c r="KT466" s="1805" t="str">
        <f t="shared" si="285"/>
        <v/>
      </c>
      <c r="KU466" s="1805" t="str">
        <f t="shared" si="286"/>
        <v/>
      </c>
      <c r="KV466" s="1805" t="str">
        <f t="shared" si="287"/>
        <v/>
      </c>
      <c r="KW466" s="1805" t="str">
        <f t="shared" si="288"/>
        <v/>
      </c>
      <c r="KX466" s="1805" t="str">
        <f t="shared" si="289"/>
        <v/>
      </c>
      <c r="KY466" s="1805" t="str">
        <f t="shared" si="290"/>
        <v/>
      </c>
      <c r="KZ466" s="1805" t="str">
        <f t="shared" si="291"/>
        <v/>
      </c>
      <c r="LA466" s="1805" t="str">
        <f t="shared" si="292"/>
        <v/>
      </c>
      <c r="LB466" s="1805" t="str">
        <f t="shared" si="293"/>
        <v/>
      </c>
      <c r="LC466" s="1805" t="str">
        <f t="shared" si="294"/>
        <v/>
      </c>
      <c r="LD466" s="1805" t="str">
        <f t="shared" si="295"/>
        <v/>
      </c>
      <c r="LE466" s="1805" t="str">
        <f t="shared" si="296"/>
        <v/>
      </c>
      <c r="LF466" s="1805" t="str">
        <f t="shared" si="297"/>
        <v/>
      </c>
      <c r="LG466" s="1794" t="str">
        <f t="shared" si="298"/>
        <v/>
      </c>
      <c r="LH466" s="1794" t="str">
        <f t="shared" si="299"/>
        <v/>
      </c>
      <c r="LI466" s="1794" t="str">
        <f t="shared" si="300"/>
        <v/>
      </c>
      <c r="LJ466" s="1794" t="str">
        <f t="shared" si="301"/>
        <v/>
      </c>
      <c r="LK466" s="1794"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7">
        <f t="shared" si="323"/>
        <v>0</v>
      </c>
      <c r="MG466" s="1657">
        <f t="shared" si="324"/>
        <v>0</v>
      </c>
      <c r="MH466" s="1657">
        <f t="shared" si="325"/>
        <v>0</v>
      </c>
      <c r="MI466" s="1657">
        <f t="shared" si="326"/>
        <v>0</v>
      </c>
      <c r="MJ466" s="1657">
        <f t="shared" si="327"/>
        <v>0</v>
      </c>
      <c r="MK466" s="1657">
        <f t="shared" si="333"/>
        <v>0</v>
      </c>
      <c r="ML466" s="1657">
        <f t="shared" si="334"/>
        <v>0</v>
      </c>
      <c r="MM466" s="1657">
        <f t="shared" si="335"/>
        <v>0</v>
      </c>
      <c r="MN466" s="1657">
        <f t="shared" si="336"/>
        <v>0</v>
      </c>
      <c r="MO466" s="1657">
        <f t="shared" si="337"/>
        <v>0</v>
      </c>
      <c r="MP466" s="1657">
        <f t="shared" si="328"/>
        <v>0</v>
      </c>
      <c r="MQ466" s="1657">
        <f t="shared" si="329"/>
        <v>0</v>
      </c>
      <c r="MR466" s="1657">
        <f t="shared" si="330"/>
        <v>0</v>
      </c>
      <c r="MS466" s="1657">
        <f t="shared" si="331"/>
        <v>0</v>
      </c>
      <c r="MT466" s="1657">
        <f t="shared" si="332"/>
        <v>0</v>
      </c>
      <c r="NP466" s="356" t="s">
        <v>4321</v>
      </c>
    </row>
    <row r="467" spans="1:380" ht="13.9" customHeight="1">
      <c r="A467" s="2645" t="str">
        <f t="shared" si="0"/>
        <v/>
      </c>
      <c r="B467" s="2664">
        <f>'Part V-Revenues &amp; Expenses'!B29</f>
        <v>0</v>
      </c>
      <c r="C467" s="2665">
        <f>'Part V-Revenues &amp; Expenses'!C29</f>
        <v>0</v>
      </c>
      <c r="D467" s="2666">
        <f>'Part V-Revenues &amp; Expenses'!D29</f>
        <v>0</v>
      </c>
      <c r="E467" s="2667">
        <f>'Part V-Revenues &amp; Expenses'!E29</f>
        <v>0</v>
      </c>
      <c r="F467" s="2667">
        <f>'Part V-Revenues &amp; Expenses'!F29</f>
        <v>0</v>
      </c>
      <c r="G467" s="2667">
        <f>'Part V-Revenues &amp; Expenses'!G29</f>
        <v>0</v>
      </c>
      <c r="H467" s="2667">
        <f>'Part V-Revenues &amp; Expenses'!H29</f>
        <v>0</v>
      </c>
      <c r="I467" s="2667">
        <f>'Part V-Revenues &amp; Expenses'!I29</f>
        <v>0</v>
      </c>
      <c r="J467" s="2667">
        <f>'Part V-Revenues &amp; Expenses'!J29</f>
        <v>0</v>
      </c>
      <c r="K467" s="2668">
        <f>'Part V-Revenues &amp; Expenses'!K29</f>
        <v>0</v>
      </c>
      <c r="L467" s="2669">
        <f t="shared" si="1"/>
        <v>0</v>
      </c>
      <c r="M467" s="2669">
        <f t="shared" si="2"/>
        <v>0</v>
      </c>
      <c r="N467" s="2538">
        <f>'Part V-Revenues &amp; Expenses'!N29</f>
        <v>0</v>
      </c>
      <c r="O467" s="1257">
        <f>'Part V-Revenues &amp; Expenses'!O29</f>
        <v>0</v>
      </c>
      <c r="P467" s="2538">
        <f>'Part V-Revenues &amp; Expenses'!P29</f>
        <v>0</v>
      </c>
      <c r="Q467" s="1804">
        <f>'Part V-Revenues &amp; Expenses'!Q29</f>
        <v>0</v>
      </c>
      <c r="R467" s="2670"/>
      <c r="S467" s="2671"/>
      <c r="T467" s="2672"/>
      <c r="U467" s="2672"/>
      <c r="V467" s="2672"/>
      <c r="W467" s="2672"/>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5" t="str">
        <f t="shared" si="213"/>
        <v/>
      </c>
      <c r="IA467" s="1805" t="str">
        <f t="shared" si="214"/>
        <v/>
      </c>
      <c r="IB467" s="1805" t="str">
        <f t="shared" si="215"/>
        <v/>
      </c>
      <c r="IC467" s="1805" t="str">
        <f t="shared" si="216"/>
        <v/>
      </c>
      <c r="ID467" s="1805" t="str">
        <f t="shared" si="217"/>
        <v/>
      </c>
      <c r="IE467" s="1805" t="str">
        <f t="shared" si="218"/>
        <v/>
      </c>
      <c r="IF467" s="1805" t="str">
        <f t="shared" si="219"/>
        <v/>
      </c>
      <c r="IG467" s="1805" t="str">
        <f t="shared" si="220"/>
        <v/>
      </c>
      <c r="IH467" s="1805" t="str">
        <f t="shared" si="221"/>
        <v/>
      </c>
      <c r="II467" s="1805" t="str">
        <f t="shared" si="222"/>
        <v/>
      </c>
      <c r="IJ467" s="1805" t="str">
        <f t="shared" si="223"/>
        <v/>
      </c>
      <c r="IK467" s="1805" t="str">
        <f t="shared" si="224"/>
        <v/>
      </c>
      <c r="IL467" s="1805" t="str">
        <f t="shared" si="225"/>
        <v/>
      </c>
      <c r="IM467" s="1805" t="str">
        <f t="shared" si="226"/>
        <v/>
      </c>
      <c r="IN467" s="1805" t="str">
        <f t="shared" si="227"/>
        <v/>
      </c>
      <c r="IO467" s="1805" t="str">
        <f t="shared" si="228"/>
        <v/>
      </c>
      <c r="IP467" s="1805" t="str">
        <f t="shared" si="229"/>
        <v/>
      </c>
      <c r="IQ467" s="1805" t="str">
        <f t="shared" si="230"/>
        <v/>
      </c>
      <c r="IR467" s="1805" t="str">
        <f t="shared" si="231"/>
        <v/>
      </c>
      <c r="IS467" s="1805" t="str">
        <f t="shared" si="232"/>
        <v/>
      </c>
      <c r="IT467" s="1805" t="str">
        <f t="shared" si="233"/>
        <v/>
      </c>
      <c r="IU467" s="1805" t="str">
        <f t="shared" si="234"/>
        <v/>
      </c>
      <c r="IV467" s="1805" t="str">
        <f t="shared" si="235"/>
        <v/>
      </c>
      <c r="IW467" s="1805" t="str">
        <f t="shared" si="236"/>
        <v/>
      </c>
      <c r="IX467" s="1805" t="str">
        <f t="shared" si="237"/>
        <v/>
      </c>
      <c r="IY467" s="1805" t="str">
        <f t="shared" si="238"/>
        <v/>
      </c>
      <c r="IZ467" s="1805" t="str">
        <f t="shared" si="239"/>
        <v/>
      </c>
      <c r="JA467" s="1805" t="str">
        <f t="shared" si="240"/>
        <v/>
      </c>
      <c r="JB467" s="1805" t="str">
        <f t="shared" si="241"/>
        <v/>
      </c>
      <c r="JC467" s="1805" t="str">
        <f t="shared" si="242"/>
        <v/>
      </c>
      <c r="JD467" s="1805" t="str">
        <f t="shared" si="243"/>
        <v/>
      </c>
      <c r="JE467" s="1805" t="str">
        <f t="shared" si="244"/>
        <v/>
      </c>
      <c r="JF467" s="1805" t="str">
        <f t="shared" si="245"/>
        <v/>
      </c>
      <c r="JG467" s="1805" t="str">
        <f t="shared" si="246"/>
        <v/>
      </c>
      <c r="JH467" s="1805" t="str">
        <f t="shared" si="247"/>
        <v/>
      </c>
      <c r="JI467" s="1805" t="str">
        <f t="shared" si="248"/>
        <v/>
      </c>
      <c r="JJ467" s="1805" t="str">
        <f t="shared" si="249"/>
        <v/>
      </c>
      <c r="JK467" s="1805" t="str">
        <f t="shared" si="250"/>
        <v/>
      </c>
      <c r="JL467" s="1805" t="str">
        <f t="shared" si="251"/>
        <v/>
      </c>
      <c r="JM467" s="1805" t="str">
        <f t="shared" si="252"/>
        <v/>
      </c>
      <c r="JN467" s="1805" t="str">
        <f t="shared" si="253"/>
        <v/>
      </c>
      <c r="JO467" s="1805" t="str">
        <f t="shared" si="254"/>
        <v/>
      </c>
      <c r="JP467" s="1805" t="str">
        <f t="shared" si="255"/>
        <v/>
      </c>
      <c r="JQ467" s="1805" t="str">
        <f t="shared" si="256"/>
        <v/>
      </c>
      <c r="JR467" s="1805" t="str">
        <f t="shared" si="257"/>
        <v/>
      </c>
      <c r="JS467" s="1805" t="str">
        <f t="shared" si="258"/>
        <v/>
      </c>
      <c r="JT467" s="1805" t="str">
        <f t="shared" si="259"/>
        <v/>
      </c>
      <c r="JU467" s="1805" t="str">
        <f t="shared" si="260"/>
        <v/>
      </c>
      <c r="JV467" s="1805" t="str">
        <f t="shared" si="261"/>
        <v/>
      </c>
      <c r="JW467" s="1805" t="str">
        <f t="shared" si="262"/>
        <v/>
      </c>
      <c r="JX467" s="1805" t="str">
        <f t="shared" si="263"/>
        <v/>
      </c>
      <c r="JY467" s="1805" t="str">
        <f t="shared" si="264"/>
        <v/>
      </c>
      <c r="JZ467" s="1805" t="str">
        <f t="shared" si="265"/>
        <v/>
      </c>
      <c r="KA467" s="1805" t="str">
        <f t="shared" si="266"/>
        <v/>
      </c>
      <c r="KB467" s="1805" t="str">
        <f t="shared" si="267"/>
        <v/>
      </c>
      <c r="KC467" s="1805" t="str">
        <f t="shared" si="268"/>
        <v/>
      </c>
      <c r="KD467" s="1805" t="str">
        <f t="shared" si="269"/>
        <v/>
      </c>
      <c r="KE467" s="1805" t="str">
        <f t="shared" si="270"/>
        <v/>
      </c>
      <c r="KF467" s="1805" t="str">
        <f t="shared" si="271"/>
        <v/>
      </c>
      <c r="KG467" s="1805" t="str">
        <f t="shared" si="272"/>
        <v/>
      </c>
      <c r="KH467" s="1805" t="str">
        <f t="shared" si="273"/>
        <v/>
      </c>
      <c r="KI467" s="1805" t="str">
        <f t="shared" si="274"/>
        <v/>
      </c>
      <c r="KJ467" s="1805" t="str">
        <f t="shared" si="275"/>
        <v/>
      </c>
      <c r="KK467" s="1805" t="str">
        <f t="shared" si="276"/>
        <v/>
      </c>
      <c r="KL467" s="1805" t="str">
        <f t="shared" si="277"/>
        <v/>
      </c>
      <c r="KM467" s="1805" t="str">
        <f t="shared" si="278"/>
        <v/>
      </c>
      <c r="KN467" s="1805" t="str">
        <f t="shared" si="279"/>
        <v/>
      </c>
      <c r="KO467" s="1805" t="str">
        <f t="shared" si="280"/>
        <v/>
      </c>
      <c r="KP467" s="1805" t="str">
        <f t="shared" si="281"/>
        <v/>
      </c>
      <c r="KQ467" s="1805" t="str">
        <f t="shared" si="282"/>
        <v/>
      </c>
      <c r="KR467" s="1805" t="str">
        <f t="shared" si="283"/>
        <v/>
      </c>
      <c r="KS467" s="1805" t="str">
        <f t="shared" si="284"/>
        <v/>
      </c>
      <c r="KT467" s="1805" t="str">
        <f t="shared" si="285"/>
        <v/>
      </c>
      <c r="KU467" s="1805" t="str">
        <f t="shared" si="286"/>
        <v/>
      </c>
      <c r="KV467" s="1805" t="str">
        <f t="shared" si="287"/>
        <v/>
      </c>
      <c r="KW467" s="1805" t="str">
        <f t="shared" si="288"/>
        <v/>
      </c>
      <c r="KX467" s="1805" t="str">
        <f t="shared" si="289"/>
        <v/>
      </c>
      <c r="KY467" s="1805" t="str">
        <f t="shared" si="290"/>
        <v/>
      </c>
      <c r="KZ467" s="1805" t="str">
        <f t="shared" si="291"/>
        <v/>
      </c>
      <c r="LA467" s="1805" t="str">
        <f t="shared" si="292"/>
        <v/>
      </c>
      <c r="LB467" s="1805" t="str">
        <f t="shared" si="293"/>
        <v/>
      </c>
      <c r="LC467" s="1805" t="str">
        <f t="shared" si="294"/>
        <v/>
      </c>
      <c r="LD467" s="1805" t="str">
        <f t="shared" si="295"/>
        <v/>
      </c>
      <c r="LE467" s="1805" t="str">
        <f t="shared" si="296"/>
        <v/>
      </c>
      <c r="LF467" s="1805" t="str">
        <f t="shared" si="297"/>
        <v/>
      </c>
      <c r="LG467" s="1794" t="str">
        <f t="shared" si="298"/>
        <v/>
      </c>
      <c r="LH467" s="1794" t="str">
        <f t="shared" si="299"/>
        <v/>
      </c>
      <c r="LI467" s="1794" t="str">
        <f t="shared" si="300"/>
        <v/>
      </c>
      <c r="LJ467" s="1794" t="str">
        <f t="shared" si="301"/>
        <v/>
      </c>
      <c r="LK467" s="1794"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7">
        <f t="shared" si="323"/>
        <v>0</v>
      </c>
      <c r="MG467" s="1657">
        <f t="shared" si="324"/>
        <v>0</v>
      </c>
      <c r="MH467" s="1657">
        <f t="shared" si="325"/>
        <v>0</v>
      </c>
      <c r="MI467" s="1657">
        <f t="shared" si="326"/>
        <v>0</v>
      </c>
      <c r="MJ467" s="1657">
        <f t="shared" si="327"/>
        <v>0</v>
      </c>
      <c r="MK467" s="1657">
        <f t="shared" si="333"/>
        <v>0</v>
      </c>
      <c r="ML467" s="1657">
        <f t="shared" si="334"/>
        <v>0</v>
      </c>
      <c r="MM467" s="1657">
        <f t="shared" si="335"/>
        <v>0</v>
      </c>
      <c r="MN467" s="1657">
        <f t="shared" si="336"/>
        <v>0</v>
      </c>
      <c r="MO467" s="1657">
        <f t="shared" si="337"/>
        <v>0</v>
      </c>
      <c r="MP467" s="1657">
        <f t="shared" si="328"/>
        <v>0</v>
      </c>
      <c r="MQ467" s="1657">
        <f t="shared" si="329"/>
        <v>0</v>
      </c>
      <c r="MR467" s="1657">
        <f t="shared" si="330"/>
        <v>0</v>
      </c>
      <c r="MS467" s="1657">
        <f t="shared" si="331"/>
        <v>0</v>
      </c>
      <c r="MT467" s="1657">
        <f t="shared" si="332"/>
        <v>0</v>
      </c>
      <c r="NP467" s="356" t="s">
        <v>4322</v>
      </c>
    </row>
    <row r="468" spans="1:380" ht="13.9" customHeight="1">
      <c r="A468" s="2645" t="str">
        <f t="shared" si="0"/>
        <v/>
      </c>
      <c r="B468" s="2664">
        <f>'Part V-Revenues &amp; Expenses'!B30</f>
        <v>0</v>
      </c>
      <c r="C468" s="2665">
        <f>'Part V-Revenues &amp; Expenses'!C30</f>
        <v>0</v>
      </c>
      <c r="D468" s="2666">
        <f>'Part V-Revenues &amp; Expenses'!D30</f>
        <v>0</v>
      </c>
      <c r="E468" s="2667">
        <f>'Part V-Revenues &amp; Expenses'!E30</f>
        <v>0</v>
      </c>
      <c r="F468" s="2667">
        <f>'Part V-Revenues &amp; Expenses'!F30</f>
        <v>0</v>
      </c>
      <c r="G468" s="2667">
        <f>'Part V-Revenues &amp; Expenses'!G30</f>
        <v>0</v>
      </c>
      <c r="H468" s="2667">
        <f>'Part V-Revenues &amp; Expenses'!H30</f>
        <v>0</v>
      </c>
      <c r="I468" s="2667">
        <f>'Part V-Revenues &amp; Expenses'!I30</f>
        <v>0</v>
      </c>
      <c r="J468" s="2667">
        <f>'Part V-Revenues &amp; Expenses'!J30</f>
        <v>0</v>
      </c>
      <c r="K468" s="2668">
        <f>'Part V-Revenues &amp; Expenses'!K30</f>
        <v>0</v>
      </c>
      <c r="L468" s="2669">
        <f t="shared" si="1"/>
        <v>0</v>
      </c>
      <c r="M468" s="2669">
        <f t="shared" si="2"/>
        <v>0</v>
      </c>
      <c r="N468" s="2538">
        <f>'Part V-Revenues &amp; Expenses'!N30</f>
        <v>0</v>
      </c>
      <c r="O468" s="1257">
        <f>'Part V-Revenues &amp; Expenses'!O30</f>
        <v>0</v>
      </c>
      <c r="P468" s="2538">
        <f>'Part V-Revenues &amp; Expenses'!P30</f>
        <v>0</v>
      </c>
      <c r="Q468" s="1804">
        <f>'Part V-Revenues &amp; Expenses'!Q30</f>
        <v>0</v>
      </c>
      <c r="R468" s="2670"/>
      <c r="S468" s="2671"/>
      <c r="T468" s="2672"/>
      <c r="U468" s="2672"/>
      <c r="V468" s="2672"/>
      <c r="W468" s="2672"/>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5" t="str">
        <f t="shared" si="213"/>
        <v/>
      </c>
      <c r="IA468" s="1805" t="str">
        <f t="shared" si="214"/>
        <v/>
      </c>
      <c r="IB468" s="1805" t="str">
        <f t="shared" si="215"/>
        <v/>
      </c>
      <c r="IC468" s="1805" t="str">
        <f t="shared" si="216"/>
        <v/>
      </c>
      <c r="ID468" s="1805" t="str">
        <f t="shared" si="217"/>
        <v/>
      </c>
      <c r="IE468" s="1805" t="str">
        <f t="shared" si="218"/>
        <v/>
      </c>
      <c r="IF468" s="1805" t="str">
        <f t="shared" si="219"/>
        <v/>
      </c>
      <c r="IG468" s="1805" t="str">
        <f t="shared" si="220"/>
        <v/>
      </c>
      <c r="IH468" s="1805" t="str">
        <f t="shared" si="221"/>
        <v/>
      </c>
      <c r="II468" s="1805" t="str">
        <f t="shared" si="222"/>
        <v/>
      </c>
      <c r="IJ468" s="1805" t="str">
        <f t="shared" si="223"/>
        <v/>
      </c>
      <c r="IK468" s="1805" t="str">
        <f t="shared" si="224"/>
        <v/>
      </c>
      <c r="IL468" s="1805" t="str">
        <f t="shared" si="225"/>
        <v/>
      </c>
      <c r="IM468" s="1805" t="str">
        <f t="shared" si="226"/>
        <v/>
      </c>
      <c r="IN468" s="1805" t="str">
        <f t="shared" si="227"/>
        <v/>
      </c>
      <c r="IO468" s="1805" t="str">
        <f t="shared" si="228"/>
        <v/>
      </c>
      <c r="IP468" s="1805" t="str">
        <f t="shared" si="229"/>
        <v/>
      </c>
      <c r="IQ468" s="1805" t="str">
        <f t="shared" si="230"/>
        <v/>
      </c>
      <c r="IR468" s="1805" t="str">
        <f t="shared" si="231"/>
        <v/>
      </c>
      <c r="IS468" s="1805" t="str">
        <f t="shared" si="232"/>
        <v/>
      </c>
      <c r="IT468" s="1805" t="str">
        <f t="shared" si="233"/>
        <v/>
      </c>
      <c r="IU468" s="1805" t="str">
        <f t="shared" si="234"/>
        <v/>
      </c>
      <c r="IV468" s="1805" t="str">
        <f t="shared" si="235"/>
        <v/>
      </c>
      <c r="IW468" s="1805" t="str">
        <f t="shared" si="236"/>
        <v/>
      </c>
      <c r="IX468" s="1805" t="str">
        <f t="shared" si="237"/>
        <v/>
      </c>
      <c r="IY468" s="1805" t="str">
        <f t="shared" si="238"/>
        <v/>
      </c>
      <c r="IZ468" s="1805" t="str">
        <f t="shared" si="239"/>
        <v/>
      </c>
      <c r="JA468" s="1805" t="str">
        <f t="shared" si="240"/>
        <v/>
      </c>
      <c r="JB468" s="1805" t="str">
        <f t="shared" si="241"/>
        <v/>
      </c>
      <c r="JC468" s="1805" t="str">
        <f t="shared" si="242"/>
        <v/>
      </c>
      <c r="JD468" s="1805" t="str">
        <f t="shared" si="243"/>
        <v/>
      </c>
      <c r="JE468" s="1805" t="str">
        <f t="shared" si="244"/>
        <v/>
      </c>
      <c r="JF468" s="1805" t="str">
        <f t="shared" si="245"/>
        <v/>
      </c>
      <c r="JG468" s="1805" t="str">
        <f t="shared" si="246"/>
        <v/>
      </c>
      <c r="JH468" s="1805" t="str">
        <f t="shared" si="247"/>
        <v/>
      </c>
      <c r="JI468" s="1805" t="str">
        <f t="shared" si="248"/>
        <v/>
      </c>
      <c r="JJ468" s="1805" t="str">
        <f t="shared" si="249"/>
        <v/>
      </c>
      <c r="JK468" s="1805" t="str">
        <f t="shared" si="250"/>
        <v/>
      </c>
      <c r="JL468" s="1805" t="str">
        <f t="shared" si="251"/>
        <v/>
      </c>
      <c r="JM468" s="1805" t="str">
        <f t="shared" si="252"/>
        <v/>
      </c>
      <c r="JN468" s="1805" t="str">
        <f t="shared" si="253"/>
        <v/>
      </c>
      <c r="JO468" s="1805" t="str">
        <f t="shared" si="254"/>
        <v/>
      </c>
      <c r="JP468" s="1805" t="str">
        <f t="shared" si="255"/>
        <v/>
      </c>
      <c r="JQ468" s="1805" t="str">
        <f t="shared" si="256"/>
        <v/>
      </c>
      <c r="JR468" s="1805" t="str">
        <f t="shared" si="257"/>
        <v/>
      </c>
      <c r="JS468" s="1805" t="str">
        <f t="shared" si="258"/>
        <v/>
      </c>
      <c r="JT468" s="1805" t="str">
        <f t="shared" si="259"/>
        <v/>
      </c>
      <c r="JU468" s="1805" t="str">
        <f t="shared" si="260"/>
        <v/>
      </c>
      <c r="JV468" s="1805" t="str">
        <f t="shared" si="261"/>
        <v/>
      </c>
      <c r="JW468" s="1805" t="str">
        <f t="shared" si="262"/>
        <v/>
      </c>
      <c r="JX468" s="1805" t="str">
        <f t="shared" si="263"/>
        <v/>
      </c>
      <c r="JY468" s="1805" t="str">
        <f t="shared" si="264"/>
        <v/>
      </c>
      <c r="JZ468" s="1805" t="str">
        <f t="shared" si="265"/>
        <v/>
      </c>
      <c r="KA468" s="1805" t="str">
        <f t="shared" si="266"/>
        <v/>
      </c>
      <c r="KB468" s="1805" t="str">
        <f t="shared" si="267"/>
        <v/>
      </c>
      <c r="KC468" s="1805" t="str">
        <f t="shared" si="268"/>
        <v/>
      </c>
      <c r="KD468" s="1805" t="str">
        <f t="shared" si="269"/>
        <v/>
      </c>
      <c r="KE468" s="1805" t="str">
        <f t="shared" si="270"/>
        <v/>
      </c>
      <c r="KF468" s="1805" t="str">
        <f t="shared" si="271"/>
        <v/>
      </c>
      <c r="KG468" s="1805" t="str">
        <f t="shared" si="272"/>
        <v/>
      </c>
      <c r="KH468" s="1805" t="str">
        <f t="shared" si="273"/>
        <v/>
      </c>
      <c r="KI468" s="1805" t="str">
        <f t="shared" si="274"/>
        <v/>
      </c>
      <c r="KJ468" s="1805" t="str">
        <f t="shared" si="275"/>
        <v/>
      </c>
      <c r="KK468" s="1805" t="str">
        <f t="shared" si="276"/>
        <v/>
      </c>
      <c r="KL468" s="1805" t="str">
        <f t="shared" si="277"/>
        <v/>
      </c>
      <c r="KM468" s="1805" t="str">
        <f t="shared" si="278"/>
        <v/>
      </c>
      <c r="KN468" s="1805" t="str">
        <f t="shared" si="279"/>
        <v/>
      </c>
      <c r="KO468" s="1805" t="str">
        <f t="shared" si="280"/>
        <v/>
      </c>
      <c r="KP468" s="1805" t="str">
        <f t="shared" si="281"/>
        <v/>
      </c>
      <c r="KQ468" s="1805" t="str">
        <f t="shared" si="282"/>
        <v/>
      </c>
      <c r="KR468" s="1805" t="str">
        <f t="shared" si="283"/>
        <v/>
      </c>
      <c r="KS468" s="1805" t="str">
        <f t="shared" si="284"/>
        <v/>
      </c>
      <c r="KT468" s="1805" t="str">
        <f t="shared" si="285"/>
        <v/>
      </c>
      <c r="KU468" s="1805" t="str">
        <f t="shared" si="286"/>
        <v/>
      </c>
      <c r="KV468" s="1805" t="str">
        <f t="shared" si="287"/>
        <v/>
      </c>
      <c r="KW468" s="1805" t="str">
        <f t="shared" si="288"/>
        <v/>
      </c>
      <c r="KX468" s="1805" t="str">
        <f t="shared" si="289"/>
        <v/>
      </c>
      <c r="KY468" s="1805" t="str">
        <f t="shared" si="290"/>
        <v/>
      </c>
      <c r="KZ468" s="1805" t="str">
        <f t="shared" si="291"/>
        <v/>
      </c>
      <c r="LA468" s="1805" t="str">
        <f t="shared" si="292"/>
        <v/>
      </c>
      <c r="LB468" s="1805" t="str">
        <f t="shared" si="293"/>
        <v/>
      </c>
      <c r="LC468" s="1805" t="str">
        <f t="shared" si="294"/>
        <v/>
      </c>
      <c r="LD468" s="1805" t="str">
        <f t="shared" si="295"/>
        <v/>
      </c>
      <c r="LE468" s="1805" t="str">
        <f t="shared" si="296"/>
        <v/>
      </c>
      <c r="LF468" s="1805" t="str">
        <f t="shared" si="297"/>
        <v/>
      </c>
      <c r="LG468" s="1794" t="str">
        <f t="shared" si="298"/>
        <v/>
      </c>
      <c r="LH468" s="1794" t="str">
        <f t="shared" si="299"/>
        <v/>
      </c>
      <c r="LI468" s="1794" t="str">
        <f t="shared" si="300"/>
        <v/>
      </c>
      <c r="LJ468" s="1794" t="str">
        <f t="shared" si="301"/>
        <v/>
      </c>
      <c r="LK468" s="1794"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7">
        <f t="shared" si="323"/>
        <v>0</v>
      </c>
      <c r="MG468" s="1657">
        <f t="shared" si="324"/>
        <v>0</v>
      </c>
      <c r="MH468" s="1657">
        <f t="shared" si="325"/>
        <v>0</v>
      </c>
      <c r="MI468" s="1657">
        <f t="shared" si="326"/>
        <v>0</v>
      </c>
      <c r="MJ468" s="1657">
        <f t="shared" si="327"/>
        <v>0</v>
      </c>
      <c r="MK468" s="1657">
        <f t="shared" si="333"/>
        <v>0</v>
      </c>
      <c r="ML468" s="1657">
        <f t="shared" si="334"/>
        <v>0</v>
      </c>
      <c r="MM468" s="1657">
        <f t="shared" si="335"/>
        <v>0</v>
      </c>
      <c r="MN468" s="1657">
        <f t="shared" si="336"/>
        <v>0</v>
      </c>
      <c r="MO468" s="1657">
        <f t="shared" si="337"/>
        <v>0</v>
      </c>
      <c r="MP468" s="1657">
        <f t="shared" si="328"/>
        <v>0</v>
      </c>
      <c r="MQ468" s="1657">
        <f t="shared" si="329"/>
        <v>0</v>
      </c>
      <c r="MR468" s="1657">
        <f t="shared" si="330"/>
        <v>0</v>
      </c>
      <c r="MS468" s="1657">
        <f t="shared" si="331"/>
        <v>0</v>
      </c>
      <c r="MT468" s="1657">
        <f t="shared" si="332"/>
        <v>0</v>
      </c>
      <c r="NP468" s="356" t="s">
        <v>4323</v>
      </c>
    </row>
    <row r="469" spans="1:380" ht="13.9" customHeight="1">
      <c r="A469" s="2645" t="str">
        <f t="shared" si="0"/>
        <v/>
      </c>
      <c r="B469" s="2664">
        <f>'Part V-Revenues &amp; Expenses'!B31</f>
        <v>0</v>
      </c>
      <c r="C469" s="2665">
        <f>'Part V-Revenues &amp; Expenses'!C31</f>
        <v>0</v>
      </c>
      <c r="D469" s="2666">
        <f>'Part V-Revenues &amp; Expenses'!D31</f>
        <v>0</v>
      </c>
      <c r="E469" s="2667">
        <f>'Part V-Revenues &amp; Expenses'!E31</f>
        <v>0</v>
      </c>
      <c r="F469" s="2667">
        <f>'Part V-Revenues &amp; Expenses'!F31</f>
        <v>0</v>
      </c>
      <c r="G469" s="2667">
        <f>'Part V-Revenues &amp; Expenses'!G31</f>
        <v>0</v>
      </c>
      <c r="H469" s="2667">
        <f>'Part V-Revenues &amp; Expenses'!H31</f>
        <v>0</v>
      </c>
      <c r="I469" s="2667">
        <f>'Part V-Revenues &amp; Expenses'!I31</f>
        <v>0</v>
      </c>
      <c r="J469" s="2667">
        <f>'Part V-Revenues &amp; Expenses'!J31</f>
        <v>0</v>
      </c>
      <c r="K469" s="2668">
        <f>'Part V-Revenues &amp; Expenses'!K31</f>
        <v>0</v>
      </c>
      <c r="L469" s="2669">
        <f t="shared" si="1"/>
        <v>0</v>
      </c>
      <c r="M469" s="2669">
        <f t="shared" si="2"/>
        <v>0</v>
      </c>
      <c r="N469" s="2538">
        <f>'Part V-Revenues &amp; Expenses'!N31</f>
        <v>0</v>
      </c>
      <c r="O469" s="1257">
        <f>'Part V-Revenues &amp; Expenses'!O31</f>
        <v>0</v>
      </c>
      <c r="P469" s="2538">
        <f>'Part V-Revenues &amp; Expenses'!P31</f>
        <v>0</v>
      </c>
      <c r="Q469" s="1804">
        <f>'Part V-Revenues &amp; Expenses'!Q31</f>
        <v>0</v>
      </c>
      <c r="R469" s="2670"/>
      <c r="S469" s="2671"/>
      <c r="T469" s="2672"/>
      <c r="U469" s="2672"/>
      <c r="V469" s="2672"/>
      <c r="W469" s="2672"/>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5" t="str">
        <f t="shared" si="213"/>
        <v/>
      </c>
      <c r="IA469" s="1805" t="str">
        <f t="shared" si="214"/>
        <v/>
      </c>
      <c r="IB469" s="1805" t="str">
        <f t="shared" si="215"/>
        <v/>
      </c>
      <c r="IC469" s="1805" t="str">
        <f t="shared" si="216"/>
        <v/>
      </c>
      <c r="ID469" s="1805" t="str">
        <f t="shared" si="217"/>
        <v/>
      </c>
      <c r="IE469" s="1805" t="str">
        <f t="shared" si="218"/>
        <v/>
      </c>
      <c r="IF469" s="1805" t="str">
        <f t="shared" si="219"/>
        <v/>
      </c>
      <c r="IG469" s="1805" t="str">
        <f t="shared" si="220"/>
        <v/>
      </c>
      <c r="IH469" s="1805" t="str">
        <f t="shared" si="221"/>
        <v/>
      </c>
      <c r="II469" s="1805" t="str">
        <f t="shared" si="222"/>
        <v/>
      </c>
      <c r="IJ469" s="1805" t="str">
        <f t="shared" si="223"/>
        <v/>
      </c>
      <c r="IK469" s="1805" t="str">
        <f t="shared" si="224"/>
        <v/>
      </c>
      <c r="IL469" s="1805" t="str">
        <f t="shared" si="225"/>
        <v/>
      </c>
      <c r="IM469" s="1805" t="str">
        <f t="shared" si="226"/>
        <v/>
      </c>
      <c r="IN469" s="1805" t="str">
        <f t="shared" si="227"/>
        <v/>
      </c>
      <c r="IO469" s="1805" t="str">
        <f t="shared" si="228"/>
        <v/>
      </c>
      <c r="IP469" s="1805" t="str">
        <f t="shared" si="229"/>
        <v/>
      </c>
      <c r="IQ469" s="1805" t="str">
        <f t="shared" si="230"/>
        <v/>
      </c>
      <c r="IR469" s="1805" t="str">
        <f t="shared" si="231"/>
        <v/>
      </c>
      <c r="IS469" s="1805" t="str">
        <f t="shared" si="232"/>
        <v/>
      </c>
      <c r="IT469" s="1805" t="str">
        <f t="shared" si="233"/>
        <v/>
      </c>
      <c r="IU469" s="1805" t="str">
        <f t="shared" si="234"/>
        <v/>
      </c>
      <c r="IV469" s="1805" t="str">
        <f t="shared" si="235"/>
        <v/>
      </c>
      <c r="IW469" s="1805" t="str">
        <f t="shared" si="236"/>
        <v/>
      </c>
      <c r="IX469" s="1805" t="str">
        <f t="shared" si="237"/>
        <v/>
      </c>
      <c r="IY469" s="1805" t="str">
        <f t="shared" si="238"/>
        <v/>
      </c>
      <c r="IZ469" s="1805" t="str">
        <f t="shared" si="239"/>
        <v/>
      </c>
      <c r="JA469" s="1805" t="str">
        <f t="shared" si="240"/>
        <v/>
      </c>
      <c r="JB469" s="1805" t="str">
        <f t="shared" si="241"/>
        <v/>
      </c>
      <c r="JC469" s="1805" t="str">
        <f t="shared" si="242"/>
        <v/>
      </c>
      <c r="JD469" s="1805" t="str">
        <f t="shared" si="243"/>
        <v/>
      </c>
      <c r="JE469" s="1805" t="str">
        <f t="shared" si="244"/>
        <v/>
      </c>
      <c r="JF469" s="1805" t="str">
        <f t="shared" si="245"/>
        <v/>
      </c>
      <c r="JG469" s="1805" t="str">
        <f t="shared" si="246"/>
        <v/>
      </c>
      <c r="JH469" s="1805" t="str">
        <f t="shared" si="247"/>
        <v/>
      </c>
      <c r="JI469" s="1805" t="str">
        <f t="shared" si="248"/>
        <v/>
      </c>
      <c r="JJ469" s="1805" t="str">
        <f t="shared" si="249"/>
        <v/>
      </c>
      <c r="JK469" s="1805" t="str">
        <f t="shared" si="250"/>
        <v/>
      </c>
      <c r="JL469" s="1805" t="str">
        <f t="shared" si="251"/>
        <v/>
      </c>
      <c r="JM469" s="1805" t="str">
        <f t="shared" si="252"/>
        <v/>
      </c>
      <c r="JN469" s="1805" t="str">
        <f t="shared" si="253"/>
        <v/>
      </c>
      <c r="JO469" s="1805" t="str">
        <f t="shared" si="254"/>
        <v/>
      </c>
      <c r="JP469" s="1805" t="str">
        <f t="shared" si="255"/>
        <v/>
      </c>
      <c r="JQ469" s="1805" t="str">
        <f t="shared" si="256"/>
        <v/>
      </c>
      <c r="JR469" s="1805" t="str">
        <f t="shared" si="257"/>
        <v/>
      </c>
      <c r="JS469" s="1805" t="str">
        <f t="shared" si="258"/>
        <v/>
      </c>
      <c r="JT469" s="1805" t="str">
        <f t="shared" si="259"/>
        <v/>
      </c>
      <c r="JU469" s="1805" t="str">
        <f t="shared" si="260"/>
        <v/>
      </c>
      <c r="JV469" s="1805" t="str">
        <f t="shared" si="261"/>
        <v/>
      </c>
      <c r="JW469" s="1805" t="str">
        <f t="shared" si="262"/>
        <v/>
      </c>
      <c r="JX469" s="1805" t="str">
        <f t="shared" si="263"/>
        <v/>
      </c>
      <c r="JY469" s="1805" t="str">
        <f t="shared" si="264"/>
        <v/>
      </c>
      <c r="JZ469" s="1805" t="str">
        <f t="shared" si="265"/>
        <v/>
      </c>
      <c r="KA469" s="1805" t="str">
        <f t="shared" si="266"/>
        <v/>
      </c>
      <c r="KB469" s="1805" t="str">
        <f t="shared" si="267"/>
        <v/>
      </c>
      <c r="KC469" s="1805" t="str">
        <f t="shared" si="268"/>
        <v/>
      </c>
      <c r="KD469" s="1805" t="str">
        <f t="shared" si="269"/>
        <v/>
      </c>
      <c r="KE469" s="1805" t="str">
        <f t="shared" si="270"/>
        <v/>
      </c>
      <c r="KF469" s="1805" t="str">
        <f t="shared" si="271"/>
        <v/>
      </c>
      <c r="KG469" s="1805" t="str">
        <f t="shared" si="272"/>
        <v/>
      </c>
      <c r="KH469" s="1805" t="str">
        <f t="shared" si="273"/>
        <v/>
      </c>
      <c r="KI469" s="1805" t="str">
        <f t="shared" si="274"/>
        <v/>
      </c>
      <c r="KJ469" s="1805" t="str">
        <f t="shared" si="275"/>
        <v/>
      </c>
      <c r="KK469" s="1805" t="str">
        <f t="shared" si="276"/>
        <v/>
      </c>
      <c r="KL469" s="1805" t="str">
        <f t="shared" si="277"/>
        <v/>
      </c>
      <c r="KM469" s="1805" t="str">
        <f t="shared" si="278"/>
        <v/>
      </c>
      <c r="KN469" s="1805" t="str">
        <f t="shared" si="279"/>
        <v/>
      </c>
      <c r="KO469" s="1805" t="str">
        <f t="shared" si="280"/>
        <v/>
      </c>
      <c r="KP469" s="1805" t="str">
        <f t="shared" si="281"/>
        <v/>
      </c>
      <c r="KQ469" s="1805" t="str">
        <f t="shared" si="282"/>
        <v/>
      </c>
      <c r="KR469" s="1805" t="str">
        <f t="shared" si="283"/>
        <v/>
      </c>
      <c r="KS469" s="1805" t="str">
        <f t="shared" si="284"/>
        <v/>
      </c>
      <c r="KT469" s="1805" t="str">
        <f t="shared" si="285"/>
        <v/>
      </c>
      <c r="KU469" s="1805" t="str">
        <f t="shared" si="286"/>
        <v/>
      </c>
      <c r="KV469" s="1805" t="str">
        <f t="shared" si="287"/>
        <v/>
      </c>
      <c r="KW469" s="1805" t="str">
        <f t="shared" si="288"/>
        <v/>
      </c>
      <c r="KX469" s="1805" t="str">
        <f t="shared" si="289"/>
        <v/>
      </c>
      <c r="KY469" s="1805" t="str">
        <f t="shared" si="290"/>
        <v/>
      </c>
      <c r="KZ469" s="1805" t="str">
        <f t="shared" si="291"/>
        <v/>
      </c>
      <c r="LA469" s="1805" t="str">
        <f t="shared" si="292"/>
        <v/>
      </c>
      <c r="LB469" s="1805" t="str">
        <f t="shared" si="293"/>
        <v/>
      </c>
      <c r="LC469" s="1805" t="str">
        <f t="shared" si="294"/>
        <v/>
      </c>
      <c r="LD469" s="1805" t="str">
        <f t="shared" si="295"/>
        <v/>
      </c>
      <c r="LE469" s="1805" t="str">
        <f t="shared" si="296"/>
        <v/>
      </c>
      <c r="LF469" s="1805" t="str">
        <f t="shared" si="297"/>
        <v/>
      </c>
      <c r="LG469" s="1794" t="str">
        <f t="shared" si="298"/>
        <v/>
      </c>
      <c r="LH469" s="1794" t="str">
        <f t="shared" si="299"/>
        <v/>
      </c>
      <c r="LI469" s="1794" t="str">
        <f t="shared" si="300"/>
        <v/>
      </c>
      <c r="LJ469" s="1794" t="str">
        <f t="shared" si="301"/>
        <v/>
      </c>
      <c r="LK469" s="1794"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7">
        <f t="shared" si="323"/>
        <v>0</v>
      </c>
      <c r="MG469" s="1657">
        <f t="shared" si="324"/>
        <v>0</v>
      </c>
      <c r="MH469" s="1657">
        <f t="shared" si="325"/>
        <v>0</v>
      </c>
      <c r="MI469" s="1657">
        <f t="shared" si="326"/>
        <v>0</v>
      </c>
      <c r="MJ469" s="1657">
        <f t="shared" si="327"/>
        <v>0</v>
      </c>
      <c r="MK469" s="1657">
        <f t="shared" si="333"/>
        <v>0</v>
      </c>
      <c r="ML469" s="1657">
        <f t="shared" si="334"/>
        <v>0</v>
      </c>
      <c r="MM469" s="1657">
        <f t="shared" si="335"/>
        <v>0</v>
      </c>
      <c r="MN469" s="1657">
        <f t="shared" si="336"/>
        <v>0</v>
      </c>
      <c r="MO469" s="1657">
        <f t="shared" si="337"/>
        <v>0</v>
      </c>
      <c r="MP469" s="1657">
        <f t="shared" si="328"/>
        <v>0</v>
      </c>
      <c r="MQ469" s="1657">
        <f t="shared" si="329"/>
        <v>0</v>
      </c>
      <c r="MR469" s="1657">
        <f t="shared" si="330"/>
        <v>0</v>
      </c>
      <c r="MS469" s="1657">
        <f t="shared" si="331"/>
        <v>0</v>
      </c>
      <c r="MT469" s="1657">
        <f t="shared" si="332"/>
        <v>0</v>
      </c>
      <c r="NP469" s="356" t="s">
        <v>4324</v>
      </c>
    </row>
    <row r="470" spans="1:380" ht="13.9" customHeight="1">
      <c r="A470" s="2645" t="str">
        <f t="shared" si="0"/>
        <v/>
      </c>
      <c r="B470" s="2664">
        <f>'Part V-Revenues &amp; Expenses'!B32</f>
        <v>0</v>
      </c>
      <c r="C470" s="2665">
        <f>'Part V-Revenues &amp; Expenses'!C32</f>
        <v>0</v>
      </c>
      <c r="D470" s="2666">
        <f>'Part V-Revenues &amp; Expenses'!D32</f>
        <v>0</v>
      </c>
      <c r="E470" s="2667">
        <f>'Part V-Revenues &amp; Expenses'!E32</f>
        <v>0</v>
      </c>
      <c r="F470" s="2667">
        <f>'Part V-Revenues &amp; Expenses'!F32</f>
        <v>0</v>
      </c>
      <c r="G470" s="2667">
        <f>'Part V-Revenues &amp; Expenses'!G32</f>
        <v>0</v>
      </c>
      <c r="H470" s="2667">
        <f>'Part V-Revenues &amp; Expenses'!H32</f>
        <v>0</v>
      </c>
      <c r="I470" s="2667">
        <f>'Part V-Revenues &amp; Expenses'!I32</f>
        <v>0</v>
      </c>
      <c r="J470" s="2667">
        <f>'Part V-Revenues &amp; Expenses'!J32</f>
        <v>0</v>
      </c>
      <c r="K470" s="2668">
        <f>'Part V-Revenues &amp; Expenses'!K32</f>
        <v>0</v>
      </c>
      <c r="L470" s="2669">
        <f t="shared" si="1"/>
        <v>0</v>
      </c>
      <c r="M470" s="2669">
        <f t="shared" si="2"/>
        <v>0</v>
      </c>
      <c r="N470" s="2538">
        <f>'Part V-Revenues &amp; Expenses'!N32</f>
        <v>0</v>
      </c>
      <c r="O470" s="1257">
        <f>'Part V-Revenues &amp; Expenses'!O32</f>
        <v>0</v>
      </c>
      <c r="P470" s="2538">
        <f>'Part V-Revenues &amp; Expenses'!P32</f>
        <v>0</v>
      </c>
      <c r="Q470" s="1804">
        <f>'Part V-Revenues &amp; Expenses'!Q32</f>
        <v>0</v>
      </c>
      <c r="R470" s="2670"/>
      <c r="S470" s="2671"/>
      <c r="T470" s="2672"/>
      <c r="U470" s="2672"/>
      <c r="V470" s="2672"/>
      <c r="W470" s="2672"/>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5" t="str">
        <f t="shared" si="213"/>
        <v/>
      </c>
      <c r="IA470" s="1805" t="str">
        <f t="shared" si="214"/>
        <v/>
      </c>
      <c r="IB470" s="1805" t="str">
        <f t="shared" si="215"/>
        <v/>
      </c>
      <c r="IC470" s="1805" t="str">
        <f t="shared" si="216"/>
        <v/>
      </c>
      <c r="ID470" s="1805" t="str">
        <f t="shared" si="217"/>
        <v/>
      </c>
      <c r="IE470" s="1805" t="str">
        <f t="shared" si="218"/>
        <v/>
      </c>
      <c r="IF470" s="1805" t="str">
        <f t="shared" si="219"/>
        <v/>
      </c>
      <c r="IG470" s="1805" t="str">
        <f t="shared" si="220"/>
        <v/>
      </c>
      <c r="IH470" s="1805" t="str">
        <f t="shared" si="221"/>
        <v/>
      </c>
      <c r="II470" s="1805" t="str">
        <f t="shared" si="222"/>
        <v/>
      </c>
      <c r="IJ470" s="1805" t="str">
        <f t="shared" si="223"/>
        <v/>
      </c>
      <c r="IK470" s="1805" t="str">
        <f t="shared" si="224"/>
        <v/>
      </c>
      <c r="IL470" s="1805" t="str">
        <f t="shared" si="225"/>
        <v/>
      </c>
      <c r="IM470" s="1805" t="str">
        <f t="shared" si="226"/>
        <v/>
      </c>
      <c r="IN470" s="1805" t="str">
        <f t="shared" si="227"/>
        <v/>
      </c>
      <c r="IO470" s="1805" t="str">
        <f t="shared" si="228"/>
        <v/>
      </c>
      <c r="IP470" s="1805" t="str">
        <f t="shared" si="229"/>
        <v/>
      </c>
      <c r="IQ470" s="1805" t="str">
        <f t="shared" si="230"/>
        <v/>
      </c>
      <c r="IR470" s="1805" t="str">
        <f t="shared" si="231"/>
        <v/>
      </c>
      <c r="IS470" s="1805" t="str">
        <f t="shared" si="232"/>
        <v/>
      </c>
      <c r="IT470" s="1805" t="str">
        <f t="shared" si="233"/>
        <v/>
      </c>
      <c r="IU470" s="1805" t="str">
        <f t="shared" si="234"/>
        <v/>
      </c>
      <c r="IV470" s="1805" t="str">
        <f t="shared" si="235"/>
        <v/>
      </c>
      <c r="IW470" s="1805" t="str">
        <f t="shared" si="236"/>
        <v/>
      </c>
      <c r="IX470" s="1805" t="str">
        <f t="shared" si="237"/>
        <v/>
      </c>
      <c r="IY470" s="1805" t="str">
        <f t="shared" si="238"/>
        <v/>
      </c>
      <c r="IZ470" s="1805" t="str">
        <f t="shared" si="239"/>
        <v/>
      </c>
      <c r="JA470" s="1805" t="str">
        <f t="shared" si="240"/>
        <v/>
      </c>
      <c r="JB470" s="1805" t="str">
        <f t="shared" si="241"/>
        <v/>
      </c>
      <c r="JC470" s="1805" t="str">
        <f t="shared" si="242"/>
        <v/>
      </c>
      <c r="JD470" s="1805" t="str">
        <f t="shared" si="243"/>
        <v/>
      </c>
      <c r="JE470" s="1805" t="str">
        <f t="shared" si="244"/>
        <v/>
      </c>
      <c r="JF470" s="1805" t="str">
        <f t="shared" si="245"/>
        <v/>
      </c>
      <c r="JG470" s="1805" t="str">
        <f t="shared" si="246"/>
        <v/>
      </c>
      <c r="JH470" s="1805" t="str">
        <f t="shared" si="247"/>
        <v/>
      </c>
      <c r="JI470" s="1805" t="str">
        <f t="shared" si="248"/>
        <v/>
      </c>
      <c r="JJ470" s="1805" t="str">
        <f t="shared" si="249"/>
        <v/>
      </c>
      <c r="JK470" s="1805" t="str">
        <f t="shared" si="250"/>
        <v/>
      </c>
      <c r="JL470" s="1805" t="str">
        <f t="shared" si="251"/>
        <v/>
      </c>
      <c r="JM470" s="1805" t="str">
        <f t="shared" si="252"/>
        <v/>
      </c>
      <c r="JN470" s="1805" t="str">
        <f t="shared" si="253"/>
        <v/>
      </c>
      <c r="JO470" s="1805" t="str">
        <f t="shared" si="254"/>
        <v/>
      </c>
      <c r="JP470" s="1805" t="str">
        <f t="shared" si="255"/>
        <v/>
      </c>
      <c r="JQ470" s="1805" t="str">
        <f t="shared" si="256"/>
        <v/>
      </c>
      <c r="JR470" s="1805" t="str">
        <f t="shared" si="257"/>
        <v/>
      </c>
      <c r="JS470" s="1805" t="str">
        <f t="shared" si="258"/>
        <v/>
      </c>
      <c r="JT470" s="1805" t="str">
        <f t="shared" si="259"/>
        <v/>
      </c>
      <c r="JU470" s="1805" t="str">
        <f t="shared" si="260"/>
        <v/>
      </c>
      <c r="JV470" s="1805" t="str">
        <f t="shared" si="261"/>
        <v/>
      </c>
      <c r="JW470" s="1805" t="str">
        <f t="shared" si="262"/>
        <v/>
      </c>
      <c r="JX470" s="1805" t="str">
        <f t="shared" si="263"/>
        <v/>
      </c>
      <c r="JY470" s="1805" t="str">
        <f t="shared" si="264"/>
        <v/>
      </c>
      <c r="JZ470" s="1805" t="str">
        <f t="shared" si="265"/>
        <v/>
      </c>
      <c r="KA470" s="1805" t="str">
        <f t="shared" si="266"/>
        <v/>
      </c>
      <c r="KB470" s="1805" t="str">
        <f t="shared" si="267"/>
        <v/>
      </c>
      <c r="KC470" s="1805" t="str">
        <f t="shared" si="268"/>
        <v/>
      </c>
      <c r="KD470" s="1805" t="str">
        <f t="shared" si="269"/>
        <v/>
      </c>
      <c r="KE470" s="1805" t="str">
        <f t="shared" si="270"/>
        <v/>
      </c>
      <c r="KF470" s="1805" t="str">
        <f t="shared" si="271"/>
        <v/>
      </c>
      <c r="KG470" s="1805" t="str">
        <f t="shared" si="272"/>
        <v/>
      </c>
      <c r="KH470" s="1805" t="str">
        <f t="shared" si="273"/>
        <v/>
      </c>
      <c r="KI470" s="1805" t="str">
        <f t="shared" si="274"/>
        <v/>
      </c>
      <c r="KJ470" s="1805" t="str">
        <f t="shared" si="275"/>
        <v/>
      </c>
      <c r="KK470" s="1805" t="str">
        <f t="shared" si="276"/>
        <v/>
      </c>
      <c r="KL470" s="1805" t="str">
        <f t="shared" si="277"/>
        <v/>
      </c>
      <c r="KM470" s="1805" t="str">
        <f t="shared" si="278"/>
        <v/>
      </c>
      <c r="KN470" s="1805" t="str">
        <f t="shared" si="279"/>
        <v/>
      </c>
      <c r="KO470" s="1805" t="str">
        <f t="shared" si="280"/>
        <v/>
      </c>
      <c r="KP470" s="1805" t="str">
        <f t="shared" si="281"/>
        <v/>
      </c>
      <c r="KQ470" s="1805" t="str">
        <f t="shared" si="282"/>
        <v/>
      </c>
      <c r="KR470" s="1805" t="str">
        <f t="shared" si="283"/>
        <v/>
      </c>
      <c r="KS470" s="1805" t="str">
        <f t="shared" si="284"/>
        <v/>
      </c>
      <c r="KT470" s="1805" t="str">
        <f t="shared" si="285"/>
        <v/>
      </c>
      <c r="KU470" s="1805" t="str">
        <f t="shared" si="286"/>
        <v/>
      </c>
      <c r="KV470" s="1805" t="str">
        <f t="shared" si="287"/>
        <v/>
      </c>
      <c r="KW470" s="1805" t="str">
        <f t="shared" si="288"/>
        <v/>
      </c>
      <c r="KX470" s="1805" t="str">
        <f t="shared" si="289"/>
        <v/>
      </c>
      <c r="KY470" s="1805" t="str">
        <f t="shared" si="290"/>
        <v/>
      </c>
      <c r="KZ470" s="1805" t="str">
        <f t="shared" si="291"/>
        <v/>
      </c>
      <c r="LA470" s="1805" t="str">
        <f t="shared" si="292"/>
        <v/>
      </c>
      <c r="LB470" s="1805" t="str">
        <f t="shared" si="293"/>
        <v/>
      </c>
      <c r="LC470" s="1805" t="str">
        <f t="shared" si="294"/>
        <v/>
      </c>
      <c r="LD470" s="1805" t="str">
        <f t="shared" si="295"/>
        <v/>
      </c>
      <c r="LE470" s="1805" t="str">
        <f t="shared" si="296"/>
        <v/>
      </c>
      <c r="LF470" s="1805" t="str">
        <f t="shared" si="297"/>
        <v/>
      </c>
      <c r="LG470" s="1794" t="str">
        <f t="shared" si="298"/>
        <v/>
      </c>
      <c r="LH470" s="1794" t="str">
        <f t="shared" si="299"/>
        <v/>
      </c>
      <c r="LI470" s="1794" t="str">
        <f t="shared" si="300"/>
        <v/>
      </c>
      <c r="LJ470" s="1794" t="str">
        <f t="shared" si="301"/>
        <v/>
      </c>
      <c r="LK470" s="1794"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7">
        <f t="shared" si="323"/>
        <v>0</v>
      </c>
      <c r="MG470" s="1657">
        <f t="shared" si="324"/>
        <v>0</v>
      </c>
      <c r="MH470" s="1657">
        <f t="shared" si="325"/>
        <v>0</v>
      </c>
      <c r="MI470" s="1657">
        <f t="shared" si="326"/>
        <v>0</v>
      </c>
      <c r="MJ470" s="1657">
        <f t="shared" si="327"/>
        <v>0</v>
      </c>
      <c r="MK470" s="1657">
        <f t="shared" si="333"/>
        <v>0</v>
      </c>
      <c r="ML470" s="1657">
        <f t="shared" si="334"/>
        <v>0</v>
      </c>
      <c r="MM470" s="1657">
        <f t="shared" si="335"/>
        <v>0</v>
      </c>
      <c r="MN470" s="1657">
        <f t="shared" si="336"/>
        <v>0</v>
      </c>
      <c r="MO470" s="1657">
        <f t="shared" si="337"/>
        <v>0</v>
      </c>
      <c r="MP470" s="1657">
        <f t="shared" si="328"/>
        <v>0</v>
      </c>
      <c r="MQ470" s="1657">
        <f t="shared" si="329"/>
        <v>0</v>
      </c>
      <c r="MR470" s="1657">
        <f t="shared" si="330"/>
        <v>0</v>
      </c>
      <c r="MS470" s="1657">
        <f t="shared" si="331"/>
        <v>0</v>
      </c>
      <c r="MT470" s="1657">
        <f t="shared" si="332"/>
        <v>0</v>
      </c>
      <c r="NP470" s="356" t="s">
        <v>4325</v>
      </c>
    </row>
    <row r="471" spans="1:380" ht="13.9" customHeight="1">
      <c r="A471" s="2645" t="str">
        <f t="shared" si="0"/>
        <v/>
      </c>
      <c r="B471" s="2664">
        <f>'Part V-Revenues &amp; Expenses'!B33</f>
        <v>0</v>
      </c>
      <c r="C471" s="2665">
        <f>'Part V-Revenues &amp; Expenses'!C33</f>
        <v>0</v>
      </c>
      <c r="D471" s="2666">
        <f>'Part V-Revenues &amp; Expenses'!D33</f>
        <v>0</v>
      </c>
      <c r="E471" s="2667">
        <f>'Part V-Revenues &amp; Expenses'!E33</f>
        <v>0</v>
      </c>
      <c r="F471" s="2667">
        <f>'Part V-Revenues &amp; Expenses'!F33</f>
        <v>0</v>
      </c>
      <c r="G471" s="2667">
        <f>'Part V-Revenues &amp; Expenses'!G33</f>
        <v>0</v>
      </c>
      <c r="H471" s="2667">
        <f>'Part V-Revenues &amp; Expenses'!H33</f>
        <v>0</v>
      </c>
      <c r="I471" s="2667">
        <f>'Part V-Revenues &amp; Expenses'!I33</f>
        <v>0</v>
      </c>
      <c r="J471" s="2667">
        <f>'Part V-Revenues &amp; Expenses'!J33</f>
        <v>0</v>
      </c>
      <c r="K471" s="2668">
        <f>'Part V-Revenues &amp; Expenses'!K33</f>
        <v>0</v>
      </c>
      <c r="L471" s="2669">
        <f t="shared" si="1"/>
        <v>0</v>
      </c>
      <c r="M471" s="2669">
        <f t="shared" si="2"/>
        <v>0</v>
      </c>
      <c r="N471" s="2538">
        <f>'Part V-Revenues &amp; Expenses'!N33</f>
        <v>0</v>
      </c>
      <c r="O471" s="1257">
        <f>'Part V-Revenues &amp; Expenses'!O33</f>
        <v>0</v>
      </c>
      <c r="P471" s="2538">
        <f>'Part V-Revenues &amp; Expenses'!P33</f>
        <v>0</v>
      </c>
      <c r="Q471" s="1804">
        <f>'Part V-Revenues &amp; Expenses'!Q33</f>
        <v>0</v>
      </c>
      <c r="R471" s="2670"/>
      <c r="S471" s="2671"/>
      <c r="T471" s="2672"/>
      <c r="U471" s="2672"/>
      <c r="V471" s="2672"/>
      <c r="W471" s="2672"/>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5" t="str">
        <f t="shared" si="213"/>
        <v/>
      </c>
      <c r="IA471" s="1805" t="str">
        <f t="shared" si="214"/>
        <v/>
      </c>
      <c r="IB471" s="1805" t="str">
        <f t="shared" si="215"/>
        <v/>
      </c>
      <c r="IC471" s="1805" t="str">
        <f t="shared" si="216"/>
        <v/>
      </c>
      <c r="ID471" s="1805" t="str">
        <f t="shared" si="217"/>
        <v/>
      </c>
      <c r="IE471" s="1805" t="str">
        <f t="shared" si="218"/>
        <v/>
      </c>
      <c r="IF471" s="1805" t="str">
        <f t="shared" si="219"/>
        <v/>
      </c>
      <c r="IG471" s="1805" t="str">
        <f t="shared" si="220"/>
        <v/>
      </c>
      <c r="IH471" s="1805" t="str">
        <f t="shared" si="221"/>
        <v/>
      </c>
      <c r="II471" s="1805" t="str">
        <f t="shared" si="222"/>
        <v/>
      </c>
      <c r="IJ471" s="1805" t="str">
        <f t="shared" si="223"/>
        <v/>
      </c>
      <c r="IK471" s="1805" t="str">
        <f t="shared" si="224"/>
        <v/>
      </c>
      <c r="IL471" s="1805" t="str">
        <f t="shared" si="225"/>
        <v/>
      </c>
      <c r="IM471" s="1805" t="str">
        <f t="shared" si="226"/>
        <v/>
      </c>
      <c r="IN471" s="1805" t="str">
        <f t="shared" si="227"/>
        <v/>
      </c>
      <c r="IO471" s="1805" t="str">
        <f t="shared" si="228"/>
        <v/>
      </c>
      <c r="IP471" s="1805" t="str">
        <f t="shared" si="229"/>
        <v/>
      </c>
      <c r="IQ471" s="1805" t="str">
        <f t="shared" si="230"/>
        <v/>
      </c>
      <c r="IR471" s="1805" t="str">
        <f t="shared" si="231"/>
        <v/>
      </c>
      <c r="IS471" s="1805" t="str">
        <f t="shared" si="232"/>
        <v/>
      </c>
      <c r="IT471" s="1805" t="str">
        <f t="shared" si="233"/>
        <v/>
      </c>
      <c r="IU471" s="1805" t="str">
        <f t="shared" si="234"/>
        <v/>
      </c>
      <c r="IV471" s="1805" t="str">
        <f t="shared" si="235"/>
        <v/>
      </c>
      <c r="IW471" s="1805" t="str">
        <f t="shared" si="236"/>
        <v/>
      </c>
      <c r="IX471" s="1805" t="str">
        <f t="shared" si="237"/>
        <v/>
      </c>
      <c r="IY471" s="1805" t="str">
        <f t="shared" si="238"/>
        <v/>
      </c>
      <c r="IZ471" s="1805" t="str">
        <f t="shared" si="239"/>
        <v/>
      </c>
      <c r="JA471" s="1805" t="str">
        <f t="shared" si="240"/>
        <v/>
      </c>
      <c r="JB471" s="1805" t="str">
        <f t="shared" si="241"/>
        <v/>
      </c>
      <c r="JC471" s="1805" t="str">
        <f t="shared" si="242"/>
        <v/>
      </c>
      <c r="JD471" s="1805" t="str">
        <f t="shared" si="243"/>
        <v/>
      </c>
      <c r="JE471" s="1805" t="str">
        <f t="shared" si="244"/>
        <v/>
      </c>
      <c r="JF471" s="1805" t="str">
        <f t="shared" si="245"/>
        <v/>
      </c>
      <c r="JG471" s="1805" t="str">
        <f t="shared" si="246"/>
        <v/>
      </c>
      <c r="JH471" s="1805" t="str">
        <f t="shared" si="247"/>
        <v/>
      </c>
      <c r="JI471" s="1805" t="str">
        <f t="shared" si="248"/>
        <v/>
      </c>
      <c r="JJ471" s="1805" t="str">
        <f t="shared" si="249"/>
        <v/>
      </c>
      <c r="JK471" s="1805" t="str">
        <f t="shared" si="250"/>
        <v/>
      </c>
      <c r="JL471" s="1805" t="str">
        <f t="shared" si="251"/>
        <v/>
      </c>
      <c r="JM471" s="1805" t="str">
        <f t="shared" si="252"/>
        <v/>
      </c>
      <c r="JN471" s="1805" t="str">
        <f t="shared" si="253"/>
        <v/>
      </c>
      <c r="JO471" s="1805" t="str">
        <f t="shared" si="254"/>
        <v/>
      </c>
      <c r="JP471" s="1805" t="str">
        <f t="shared" si="255"/>
        <v/>
      </c>
      <c r="JQ471" s="1805" t="str">
        <f t="shared" si="256"/>
        <v/>
      </c>
      <c r="JR471" s="1805" t="str">
        <f t="shared" si="257"/>
        <v/>
      </c>
      <c r="JS471" s="1805" t="str">
        <f t="shared" si="258"/>
        <v/>
      </c>
      <c r="JT471" s="1805" t="str">
        <f t="shared" si="259"/>
        <v/>
      </c>
      <c r="JU471" s="1805" t="str">
        <f t="shared" si="260"/>
        <v/>
      </c>
      <c r="JV471" s="1805" t="str">
        <f t="shared" si="261"/>
        <v/>
      </c>
      <c r="JW471" s="1805" t="str">
        <f t="shared" si="262"/>
        <v/>
      </c>
      <c r="JX471" s="1805" t="str">
        <f t="shared" si="263"/>
        <v/>
      </c>
      <c r="JY471" s="1805" t="str">
        <f t="shared" si="264"/>
        <v/>
      </c>
      <c r="JZ471" s="1805" t="str">
        <f t="shared" si="265"/>
        <v/>
      </c>
      <c r="KA471" s="1805" t="str">
        <f t="shared" si="266"/>
        <v/>
      </c>
      <c r="KB471" s="1805" t="str">
        <f t="shared" si="267"/>
        <v/>
      </c>
      <c r="KC471" s="1805" t="str">
        <f t="shared" si="268"/>
        <v/>
      </c>
      <c r="KD471" s="1805" t="str">
        <f t="shared" si="269"/>
        <v/>
      </c>
      <c r="KE471" s="1805" t="str">
        <f t="shared" si="270"/>
        <v/>
      </c>
      <c r="KF471" s="1805" t="str">
        <f t="shared" si="271"/>
        <v/>
      </c>
      <c r="KG471" s="1805" t="str">
        <f t="shared" si="272"/>
        <v/>
      </c>
      <c r="KH471" s="1805" t="str">
        <f t="shared" si="273"/>
        <v/>
      </c>
      <c r="KI471" s="1805" t="str">
        <f t="shared" si="274"/>
        <v/>
      </c>
      <c r="KJ471" s="1805" t="str">
        <f t="shared" si="275"/>
        <v/>
      </c>
      <c r="KK471" s="1805" t="str">
        <f t="shared" si="276"/>
        <v/>
      </c>
      <c r="KL471" s="1805" t="str">
        <f t="shared" si="277"/>
        <v/>
      </c>
      <c r="KM471" s="1805" t="str">
        <f t="shared" si="278"/>
        <v/>
      </c>
      <c r="KN471" s="1805" t="str">
        <f t="shared" si="279"/>
        <v/>
      </c>
      <c r="KO471" s="1805" t="str">
        <f t="shared" si="280"/>
        <v/>
      </c>
      <c r="KP471" s="1805" t="str">
        <f t="shared" si="281"/>
        <v/>
      </c>
      <c r="KQ471" s="1805" t="str">
        <f t="shared" si="282"/>
        <v/>
      </c>
      <c r="KR471" s="1805" t="str">
        <f t="shared" si="283"/>
        <v/>
      </c>
      <c r="KS471" s="1805" t="str">
        <f t="shared" si="284"/>
        <v/>
      </c>
      <c r="KT471" s="1805" t="str">
        <f t="shared" si="285"/>
        <v/>
      </c>
      <c r="KU471" s="1805" t="str">
        <f t="shared" si="286"/>
        <v/>
      </c>
      <c r="KV471" s="1805" t="str">
        <f t="shared" si="287"/>
        <v/>
      </c>
      <c r="KW471" s="1805" t="str">
        <f t="shared" si="288"/>
        <v/>
      </c>
      <c r="KX471" s="1805" t="str">
        <f t="shared" si="289"/>
        <v/>
      </c>
      <c r="KY471" s="1805" t="str">
        <f t="shared" si="290"/>
        <v/>
      </c>
      <c r="KZ471" s="1805" t="str">
        <f t="shared" si="291"/>
        <v/>
      </c>
      <c r="LA471" s="1805" t="str">
        <f t="shared" si="292"/>
        <v/>
      </c>
      <c r="LB471" s="1805" t="str">
        <f t="shared" si="293"/>
        <v/>
      </c>
      <c r="LC471" s="1805" t="str">
        <f t="shared" si="294"/>
        <v/>
      </c>
      <c r="LD471" s="1805" t="str">
        <f t="shared" si="295"/>
        <v/>
      </c>
      <c r="LE471" s="1805" t="str">
        <f t="shared" si="296"/>
        <v/>
      </c>
      <c r="LF471" s="1805" t="str">
        <f t="shared" si="297"/>
        <v/>
      </c>
      <c r="LG471" s="1794" t="str">
        <f t="shared" si="298"/>
        <v/>
      </c>
      <c r="LH471" s="1794" t="str">
        <f t="shared" si="299"/>
        <v/>
      </c>
      <c r="LI471" s="1794" t="str">
        <f t="shared" si="300"/>
        <v/>
      </c>
      <c r="LJ471" s="1794" t="str">
        <f t="shared" si="301"/>
        <v/>
      </c>
      <c r="LK471" s="1794"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7">
        <f t="shared" si="323"/>
        <v>0</v>
      </c>
      <c r="MG471" s="1657">
        <f t="shared" si="324"/>
        <v>0</v>
      </c>
      <c r="MH471" s="1657">
        <f t="shared" si="325"/>
        <v>0</v>
      </c>
      <c r="MI471" s="1657">
        <f t="shared" si="326"/>
        <v>0</v>
      </c>
      <c r="MJ471" s="1657">
        <f t="shared" si="327"/>
        <v>0</v>
      </c>
      <c r="MK471" s="1657">
        <f t="shared" si="333"/>
        <v>0</v>
      </c>
      <c r="ML471" s="1657">
        <f t="shared" si="334"/>
        <v>0</v>
      </c>
      <c r="MM471" s="1657">
        <f t="shared" si="335"/>
        <v>0</v>
      </c>
      <c r="MN471" s="1657">
        <f t="shared" si="336"/>
        <v>0</v>
      </c>
      <c r="MO471" s="1657">
        <f t="shared" si="337"/>
        <v>0</v>
      </c>
      <c r="MP471" s="1657">
        <f t="shared" si="328"/>
        <v>0</v>
      </c>
      <c r="MQ471" s="1657">
        <f t="shared" si="329"/>
        <v>0</v>
      </c>
      <c r="MR471" s="1657">
        <f t="shared" si="330"/>
        <v>0</v>
      </c>
      <c r="MS471" s="1657">
        <f t="shared" si="331"/>
        <v>0</v>
      </c>
      <c r="MT471" s="1657">
        <f t="shared" si="332"/>
        <v>0</v>
      </c>
      <c r="NP471" s="356" t="s">
        <v>4326</v>
      </c>
    </row>
    <row r="472" spans="1:380" ht="13.9" customHeight="1">
      <c r="A472" s="2645" t="str">
        <f t="shared" si="0"/>
        <v/>
      </c>
      <c r="B472" s="2664">
        <f>'Part V-Revenues &amp; Expenses'!B34</f>
        <v>0</v>
      </c>
      <c r="C472" s="2665">
        <f>'Part V-Revenues &amp; Expenses'!C34</f>
        <v>0</v>
      </c>
      <c r="D472" s="2666">
        <f>'Part V-Revenues &amp; Expenses'!D34</f>
        <v>0</v>
      </c>
      <c r="E472" s="2667">
        <f>'Part V-Revenues &amp; Expenses'!E34</f>
        <v>0</v>
      </c>
      <c r="F472" s="2667">
        <f>'Part V-Revenues &amp; Expenses'!F34</f>
        <v>0</v>
      </c>
      <c r="G472" s="2667">
        <f>'Part V-Revenues &amp; Expenses'!G34</f>
        <v>0</v>
      </c>
      <c r="H472" s="2667">
        <f>'Part V-Revenues &amp; Expenses'!H34</f>
        <v>0</v>
      </c>
      <c r="I472" s="2667">
        <f>'Part V-Revenues &amp; Expenses'!I34</f>
        <v>0</v>
      </c>
      <c r="J472" s="2667">
        <f>'Part V-Revenues &amp; Expenses'!J34</f>
        <v>0</v>
      </c>
      <c r="K472" s="2668">
        <f>'Part V-Revenues &amp; Expenses'!K34</f>
        <v>0</v>
      </c>
      <c r="L472" s="2669">
        <f t="shared" si="1"/>
        <v>0</v>
      </c>
      <c r="M472" s="2669">
        <f t="shared" si="2"/>
        <v>0</v>
      </c>
      <c r="N472" s="2538">
        <f>'Part V-Revenues &amp; Expenses'!N34</f>
        <v>0</v>
      </c>
      <c r="O472" s="1257">
        <f>'Part V-Revenues &amp; Expenses'!O34</f>
        <v>0</v>
      </c>
      <c r="P472" s="2538">
        <f>'Part V-Revenues &amp; Expenses'!P34</f>
        <v>0</v>
      </c>
      <c r="Q472" s="1804">
        <f>'Part V-Revenues &amp; Expenses'!Q34</f>
        <v>0</v>
      </c>
      <c r="R472" s="2670"/>
      <c r="S472" s="2671"/>
      <c r="T472" s="2672"/>
      <c r="U472" s="2672"/>
      <c r="V472" s="2672"/>
      <c r="W472" s="2672"/>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5" t="str">
        <f t="shared" si="213"/>
        <v/>
      </c>
      <c r="IA472" s="1805" t="str">
        <f t="shared" si="214"/>
        <v/>
      </c>
      <c r="IB472" s="1805" t="str">
        <f t="shared" si="215"/>
        <v/>
      </c>
      <c r="IC472" s="1805" t="str">
        <f t="shared" si="216"/>
        <v/>
      </c>
      <c r="ID472" s="1805" t="str">
        <f t="shared" si="217"/>
        <v/>
      </c>
      <c r="IE472" s="1805" t="str">
        <f t="shared" si="218"/>
        <v/>
      </c>
      <c r="IF472" s="1805" t="str">
        <f t="shared" si="219"/>
        <v/>
      </c>
      <c r="IG472" s="1805" t="str">
        <f t="shared" si="220"/>
        <v/>
      </c>
      <c r="IH472" s="1805" t="str">
        <f t="shared" si="221"/>
        <v/>
      </c>
      <c r="II472" s="1805" t="str">
        <f t="shared" si="222"/>
        <v/>
      </c>
      <c r="IJ472" s="1805" t="str">
        <f t="shared" si="223"/>
        <v/>
      </c>
      <c r="IK472" s="1805" t="str">
        <f t="shared" si="224"/>
        <v/>
      </c>
      <c r="IL472" s="1805" t="str">
        <f t="shared" si="225"/>
        <v/>
      </c>
      <c r="IM472" s="1805" t="str">
        <f t="shared" si="226"/>
        <v/>
      </c>
      <c r="IN472" s="1805" t="str">
        <f t="shared" si="227"/>
        <v/>
      </c>
      <c r="IO472" s="1805" t="str">
        <f t="shared" si="228"/>
        <v/>
      </c>
      <c r="IP472" s="1805" t="str">
        <f t="shared" si="229"/>
        <v/>
      </c>
      <c r="IQ472" s="1805" t="str">
        <f t="shared" si="230"/>
        <v/>
      </c>
      <c r="IR472" s="1805" t="str">
        <f t="shared" si="231"/>
        <v/>
      </c>
      <c r="IS472" s="1805" t="str">
        <f t="shared" si="232"/>
        <v/>
      </c>
      <c r="IT472" s="1805" t="str">
        <f t="shared" si="233"/>
        <v/>
      </c>
      <c r="IU472" s="1805" t="str">
        <f t="shared" si="234"/>
        <v/>
      </c>
      <c r="IV472" s="1805" t="str">
        <f t="shared" si="235"/>
        <v/>
      </c>
      <c r="IW472" s="1805" t="str">
        <f t="shared" si="236"/>
        <v/>
      </c>
      <c r="IX472" s="1805" t="str">
        <f t="shared" si="237"/>
        <v/>
      </c>
      <c r="IY472" s="1805" t="str">
        <f t="shared" si="238"/>
        <v/>
      </c>
      <c r="IZ472" s="1805" t="str">
        <f t="shared" si="239"/>
        <v/>
      </c>
      <c r="JA472" s="1805" t="str">
        <f t="shared" si="240"/>
        <v/>
      </c>
      <c r="JB472" s="1805" t="str">
        <f t="shared" si="241"/>
        <v/>
      </c>
      <c r="JC472" s="1805" t="str">
        <f t="shared" si="242"/>
        <v/>
      </c>
      <c r="JD472" s="1805" t="str">
        <f t="shared" si="243"/>
        <v/>
      </c>
      <c r="JE472" s="1805" t="str">
        <f t="shared" si="244"/>
        <v/>
      </c>
      <c r="JF472" s="1805" t="str">
        <f t="shared" si="245"/>
        <v/>
      </c>
      <c r="JG472" s="1805" t="str">
        <f t="shared" si="246"/>
        <v/>
      </c>
      <c r="JH472" s="1805" t="str">
        <f t="shared" si="247"/>
        <v/>
      </c>
      <c r="JI472" s="1805" t="str">
        <f t="shared" si="248"/>
        <v/>
      </c>
      <c r="JJ472" s="1805" t="str">
        <f t="shared" si="249"/>
        <v/>
      </c>
      <c r="JK472" s="1805" t="str">
        <f t="shared" si="250"/>
        <v/>
      </c>
      <c r="JL472" s="1805" t="str">
        <f t="shared" si="251"/>
        <v/>
      </c>
      <c r="JM472" s="1805" t="str">
        <f t="shared" si="252"/>
        <v/>
      </c>
      <c r="JN472" s="1805" t="str">
        <f t="shared" si="253"/>
        <v/>
      </c>
      <c r="JO472" s="1805" t="str">
        <f t="shared" si="254"/>
        <v/>
      </c>
      <c r="JP472" s="1805" t="str">
        <f t="shared" si="255"/>
        <v/>
      </c>
      <c r="JQ472" s="1805" t="str">
        <f t="shared" si="256"/>
        <v/>
      </c>
      <c r="JR472" s="1805" t="str">
        <f t="shared" si="257"/>
        <v/>
      </c>
      <c r="JS472" s="1805" t="str">
        <f t="shared" si="258"/>
        <v/>
      </c>
      <c r="JT472" s="1805" t="str">
        <f t="shared" si="259"/>
        <v/>
      </c>
      <c r="JU472" s="1805" t="str">
        <f t="shared" si="260"/>
        <v/>
      </c>
      <c r="JV472" s="1805" t="str">
        <f t="shared" si="261"/>
        <v/>
      </c>
      <c r="JW472" s="1805" t="str">
        <f t="shared" si="262"/>
        <v/>
      </c>
      <c r="JX472" s="1805" t="str">
        <f t="shared" si="263"/>
        <v/>
      </c>
      <c r="JY472" s="1805" t="str">
        <f t="shared" si="264"/>
        <v/>
      </c>
      <c r="JZ472" s="1805" t="str">
        <f t="shared" si="265"/>
        <v/>
      </c>
      <c r="KA472" s="1805" t="str">
        <f t="shared" si="266"/>
        <v/>
      </c>
      <c r="KB472" s="1805" t="str">
        <f t="shared" si="267"/>
        <v/>
      </c>
      <c r="KC472" s="1805" t="str">
        <f t="shared" si="268"/>
        <v/>
      </c>
      <c r="KD472" s="1805" t="str">
        <f t="shared" si="269"/>
        <v/>
      </c>
      <c r="KE472" s="1805" t="str">
        <f t="shared" si="270"/>
        <v/>
      </c>
      <c r="KF472" s="1805" t="str">
        <f t="shared" si="271"/>
        <v/>
      </c>
      <c r="KG472" s="1805" t="str">
        <f t="shared" si="272"/>
        <v/>
      </c>
      <c r="KH472" s="1805" t="str">
        <f t="shared" si="273"/>
        <v/>
      </c>
      <c r="KI472" s="1805" t="str">
        <f t="shared" si="274"/>
        <v/>
      </c>
      <c r="KJ472" s="1805" t="str">
        <f t="shared" si="275"/>
        <v/>
      </c>
      <c r="KK472" s="1805" t="str">
        <f t="shared" si="276"/>
        <v/>
      </c>
      <c r="KL472" s="1805" t="str">
        <f t="shared" si="277"/>
        <v/>
      </c>
      <c r="KM472" s="1805" t="str">
        <f t="shared" si="278"/>
        <v/>
      </c>
      <c r="KN472" s="1805" t="str">
        <f t="shared" si="279"/>
        <v/>
      </c>
      <c r="KO472" s="1805" t="str">
        <f t="shared" si="280"/>
        <v/>
      </c>
      <c r="KP472" s="1805" t="str">
        <f t="shared" si="281"/>
        <v/>
      </c>
      <c r="KQ472" s="1805" t="str">
        <f t="shared" si="282"/>
        <v/>
      </c>
      <c r="KR472" s="1805" t="str">
        <f t="shared" si="283"/>
        <v/>
      </c>
      <c r="KS472" s="1805" t="str">
        <f t="shared" si="284"/>
        <v/>
      </c>
      <c r="KT472" s="1805" t="str">
        <f t="shared" si="285"/>
        <v/>
      </c>
      <c r="KU472" s="1805" t="str">
        <f t="shared" si="286"/>
        <v/>
      </c>
      <c r="KV472" s="1805" t="str">
        <f t="shared" si="287"/>
        <v/>
      </c>
      <c r="KW472" s="1805" t="str">
        <f t="shared" si="288"/>
        <v/>
      </c>
      <c r="KX472" s="1805" t="str">
        <f t="shared" si="289"/>
        <v/>
      </c>
      <c r="KY472" s="1805" t="str">
        <f t="shared" si="290"/>
        <v/>
      </c>
      <c r="KZ472" s="1805" t="str">
        <f t="shared" si="291"/>
        <v/>
      </c>
      <c r="LA472" s="1805" t="str">
        <f t="shared" si="292"/>
        <v/>
      </c>
      <c r="LB472" s="1805" t="str">
        <f t="shared" si="293"/>
        <v/>
      </c>
      <c r="LC472" s="1805" t="str">
        <f t="shared" si="294"/>
        <v/>
      </c>
      <c r="LD472" s="1805" t="str">
        <f t="shared" si="295"/>
        <v/>
      </c>
      <c r="LE472" s="1805" t="str">
        <f t="shared" si="296"/>
        <v/>
      </c>
      <c r="LF472" s="1805" t="str">
        <f t="shared" si="297"/>
        <v/>
      </c>
      <c r="LG472" s="1794" t="str">
        <f t="shared" si="298"/>
        <v/>
      </c>
      <c r="LH472" s="1794" t="str">
        <f t="shared" si="299"/>
        <v/>
      </c>
      <c r="LI472" s="1794" t="str">
        <f t="shared" si="300"/>
        <v/>
      </c>
      <c r="LJ472" s="1794" t="str">
        <f t="shared" si="301"/>
        <v/>
      </c>
      <c r="LK472" s="1794"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7">
        <f t="shared" si="323"/>
        <v>0</v>
      </c>
      <c r="MG472" s="1657">
        <f t="shared" si="324"/>
        <v>0</v>
      </c>
      <c r="MH472" s="1657">
        <f t="shared" si="325"/>
        <v>0</v>
      </c>
      <c r="MI472" s="1657">
        <f t="shared" si="326"/>
        <v>0</v>
      </c>
      <c r="MJ472" s="1657">
        <f t="shared" si="327"/>
        <v>0</v>
      </c>
      <c r="MK472" s="1657">
        <f t="shared" si="333"/>
        <v>0</v>
      </c>
      <c r="ML472" s="1657">
        <f t="shared" si="334"/>
        <v>0</v>
      </c>
      <c r="MM472" s="1657">
        <f t="shared" si="335"/>
        <v>0</v>
      </c>
      <c r="MN472" s="1657">
        <f t="shared" si="336"/>
        <v>0</v>
      </c>
      <c r="MO472" s="1657">
        <f t="shared" si="337"/>
        <v>0</v>
      </c>
      <c r="MP472" s="1657">
        <f t="shared" si="328"/>
        <v>0</v>
      </c>
      <c r="MQ472" s="1657">
        <f t="shared" si="329"/>
        <v>0</v>
      </c>
      <c r="MR472" s="1657">
        <f t="shared" si="330"/>
        <v>0</v>
      </c>
      <c r="MS472" s="1657">
        <f t="shared" si="331"/>
        <v>0</v>
      </c>
      <c r="MT472" s="1657">
        <f t="shared" si="332"/>
        <v>0</v>
      </c>
      <c r="NP472" s="356" t="s">
        <v>4327</v>
      </c>
    </row>
    <row r="473" spans="1:380" ht="13.9" customHeight="1">
      <c r="A473" s="2645" t="str">
        <f t="shared" si="0"/>
        <v/>
      </c>
      <c r="B473" s="2664">
        <f>'Part V-Revenues &amp; Expenses'!B35</f>
        <v>0</v>
      </c>
      <c r="C473" s="2665">
        <f>'Part V-Revenues &amp; Expenses'!C35</f>
        <v>0</v>
      </c>
      <c r="D473" s="2666">
        <f>'Part V-Revenues &amp; Expenses'!D35</f>
        <v>0</v>
      </c>
      <c r="E473" s="2667">
        <f>'Part V-Revenues &amp; Expenses'!E35</f>
        <v>0</v>
      </c>
      <c r="F473" s="2667">
        <f>'Part V-Revenues &amp; Expenses'!F35</f>
        <v>0</v>
      </c>
      <c r="G473" s="2667">
        <f>'Part V-Revenues &amp; Expenses'!G35</f>
        <v>0</v>
      </c>
      <c r="H473" s="2667">
        <f>'Part V-Revenues &amp; Expenses'!H35</f>
        <v>0</v>
      </c>
      <c r="I473" s="2667">
        <f>'Part V-Revenues &amp; Expenses'!I35</f>
        <v>0</v>
      </c>
      <c r="J473" s="2667">
        <f>'Part V-Revenues &amp; Expenses'!J35</f>
        <v>0</v>
      </c>
      <c r="K473" s="2668">
        <f>'Part V-Revenues &amp; Expenses'!K35</f>
        <v>0</v>
      </c>
      <c r="L473" s="2669">
        <f t="shared" si="1"/>
        <v>0</v>
      </c>
      <c r="M473" s="2669">
        <f t="shared" si="2"/>
        <v>0</v>
      </c>
      <c r="N473" s="2538">
        <f>'Part V-Revenues &amp; Expenses'!N35</f>
        <v>0</v>
      </c>
      <c r="O473" s="1257">
        <f>'Part V-Revenues &amp; Expenses'!O35</f>
        <v>0</v>
      </c>
      <c r="P473" s="2538">
        <f>'Part V-Revenues &amp; Expenses'!P35</f>
        <v>0</v>
      </c>
      <c r="Q473" s="1804">
        <f>'Part V-Revenues &amp; Expenses'!Q35</f>
        <v>0</v>
      </c>
      <c r="R473" s="2670"/>
      <c r="S473" s="2671"/>
      <c r="T473" s="2672"/>
      <c r="U473" s="2672"/>
      <c r="V473" s="2672"/>
      <c r="W473" s="2672"/>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5" t="str">
        <f t="shared" si="213"/>
        <v/>
      </c>
      <c r="IA473" s="1805" t="str">
        <f t="shared" si="214"/>
        <v/>
      </c>
      <c r="IB473" s="1805" t="str">
        <f t="shared" si="215"/>
        <v/>
      </c>
      <c r="IC473" s="1805" t="str">
        <f t="shared" si="216"/>
        <v/>
      </c>
      <c r="ID473" s="1805" t="str">
        <f t="shared" si="217"/>
        <v/>
      </c>
      <c r="IE473" s="1805" t="str">
        <f t="shared" si="218"/>
        <v/>
      </c>
      <c r="IF473" s="1805" t="str">
        <f t="shared" si="219"/>
        <v/>
      </c>
      <c r="IG473" s="1805" t="str">
        <f t="shared" si="220"/>
        <v/>
      </c>
      <c r="IH473" s="1805" t="str">
        <f t="shared" si="221"/>
        <v/>
      </c>
      <c r="II473" s="1805" t="str">
        <f t="shared" si="222"/>
        <v/>
      </c>
      <c r="IJ473" s="1805" t="str">
        <f t="shared" si="223"/>
        <v/>
      </c>
      <c r="IK473" s="1805" t="str">
        <f t="shared" si="224"/>
        <v/>
      </c>
      <c r="IL473" s="1805" t="str">
        <f t="shared" si="225"/>
        <v/>
      </c>
      <c r="IM473" s="1805" t="str">
        <f t="shared" si="226"/>
        <v/>
      </c>
      <c r="IN473" s="1805" t="str">
        <f t="shared" si="227"/>
        <v/>
      </c>
      <c r="IO473" s="1805" t="str">
        <f t="shared" si="228"/>
        <v/>
      </c>
      <c r="IP473" s="1805" t="str">
        <f t="shared" si="229"/>
        <v/>
      </c>
      <c r="IQ473" s="1805" t="str">
        <f t="shared" si="230"/>
        <v/>
      </c>
      <c r="IR473" s="1805" t="str">
        <f t="shared" si="231"/>
        <v/>
      </c>
      <c r="IS473" s="1805" t="str">
        <f t="shared" si="232"/>
        <v/>
      </c>
      <c r="IT473" s="1805" t="str">
        <f t="shared" si="233"/>
        <v/>
      </c>
      <c r="IU473" s="1805" t="str">
        <f t="shared" si="234"/>
        <v/>
      </c>
      <c r="IV473" s="1805" t="str">
        <f t="shared" si="235"/>
        <v/>
      </c>
      <c r="IW473" s="1805" t="str">
        <f t="shared" si="236"/>
        <v/>
      </c>
      <c r="IX473" s="1805" t="str">
        <f t="shared" si="237"/>
        <v/>
      </c>
      <c r="IY473" s="1805" t="str">
        <f t="shared" si="238"/>
        <v/>
      </c>
      <c r="IZ473" s="1805" t="str">
        <f t="shared" si="239"/>
        <v/>
      </c>
      <c r="JA473" s="1805" t="str">
        <f t="shared" si="240"/>
        <v/>
      </c>
      <c r="JB473" s="1805" t="str">
        <f t="shared" si="241"/>
        <v/>
      </c>
      <c r="JC473" s="1805" t="str">
        <f t="shared" si="242"/>
        <v/>
      </c>
      <c r="JD473" s="1805" t="str">
        <f t="shared" si="243"/>
        <v/>
      </c>
      <c r="JE473" s="1805" t="str">
        <f t="shared" si="244"/>
        <v/>
      </c>
      <c r="JF473" s="1805" t="str">
        <f t="shared" si="245"/>
        <v/>
      </c>
      <c r="JG473" s="1805" t="str">
        <f t="shared" si="246"/>
        <v/>
      </c>
      <c r="JH473" s="1805" t="str">
        <f t="shared" si="247"/>
        <v/>
      </c>
      <c r="JI473" s="1805" t="str">
        <f t="shared" si="248"/>
        <v/>
      </c>
      <c r="JJ473" s="1805" t="str">
        <f t="shared" si="249"/>
        <v/>
      </c>
      <c r="JK473" s="1805" t="str">
        <f t="shared" si="250"/>
        <v/>
      </c>
      <c r="JL473" s="1805" t="str">
        <f t="shared" si="251"/>
        <v/>
      </c>
      <c r="JM473" s="1805" t="str">
        <f t="shared" si="252"/>
        <v/>
      </c>
      <c r="JN473" s="1805" t="str">
        <f t="shared" si="253"/>
        <v/>
      </c>
      <c r="JO473" s="1805" t="str">
        <f t="shared" si="254"/>
        <v/>
      </c>
      <c r="JP473" s="1805" t="str">
        <f t="shared" si="255"/>
        <v/>
      </c>
      <c r="JQ473" s="1805" t="str">
        <f t="shared" si="256"/>
        <v/>
      </c>
      <c r="JR473" s="1805" t="str">
        <f t="shared" si="257"/>
        <v/>
      </c>
      <c r="JS473" s="1805" t="str">
        <f t="shared" si="258"/>
        <v/>
      </c>
      <c r="JT473" s="1805" t="str">
        <f t="shared" si="259"/>
        <v/>
      </c>
      <c r="JU473" s="1805" t="str">
        <f t="shared" si="260"/>
        <v/>
      </c>
      <c r="JV473" s="1805" t="str">
        <f t="shared" si="261"/>
        <v/>
      </c>
      <c r="JW473" s="1805" t="str">
        <f t="shared" si="262"/>
        <v/>
      </c>
      <c r="JX473" s="1805" t="str">
        <f t="shared" si="263"/>
        <v/>
      </c>
      <c r="JY473" s="1805" t="str">
        <f t="shared" si="264"/>
        <v/>
      </c>
      <c r="JZ473" s="1805" t="str">
        <f t="shared" si="265"/>
        <v/>
      </c>
      <c r="KA473" s="1805" t="str">
        <f t="shared" si="266"/>
        <v/>
      </c>
      <c r="KB473" s="1805" t="str">
        <f t="shared" si="267"/>
        <v/>
      </c>
      <c r="KC473" s="1805" t="str">
        <f t="shared" si="268"/>
        <v/>
      </c>
      <c r="KD473" s="1805" t="str">
        <f t="shared" si="269"/>
        <v/>
      </c>
      <c r="KE473" s="1805" t="str">
        <f t="shared" si="270"/>
        <v/>
      </c>
      <c r="KF473" s="1805" t="str">
        <f t="shared" si="271"/>
        <v/>
      </c>
      <c r="KG473" s="1805" t="str">
        <f t="shared" si="272"/>
        <v/>
      </c>
      <c r="KH473" s="1805" t="str">
        <f t="shared" si="273"/>
        <v/>
      </c>
      <c r="KI473" s="1805" t="str">
        <f t="shared" si="274"/>
        <v/>
      </c>
      <c r="KJ473" s="1805" t="str">
        <f t="shared" si="275"/>
        <v/>
      </c>
      <c r="KK473" s="1805" t="str">
        <f t="shared" si="276"/>
        <v/>
      </c>
      <c r="KL473" s="1805" t="str">
        <f t="shared" si="277"/>
        <v/>
      </c>
      <c r="KM473" s="1805" t="str">
        <f t="shared" si="278"/>
        <v/>
      </c>
      <c r="KN473" s="1805" t="str">
        <f t="shared" si="279"/>
        <v/>
      </c>
      <c r="KO473" s="1805" t="str">
        <f t="shared" si="280"/>
        <v/>
      </c>
      <c r="KP473" s="1805" t="str">
        <f t="shared" si="281"/>
        <v/>
      </c>
      <c r="KQ473" s="1805" t="str">
        <f t="shared" si="282"/>
        <v/>
      </c>
      <c r="KR473" s="1805" t="str">
        <f t="shared" si="283"/>
        <v/>
      </c>
      <c r="KS473" s="1805" t="str">
        <f t="shared" si="284"/>
        <v/>
      </c>
      <c r="KT473" s="1805" t="str">
        <f t="shared" si="285"/>
        <v/>
      </c>
      <c r="KU473" s="1805" t="str">
        <f t="shared" si="286"/>
        <v/>
      </c>
      <c r="KV473" s="1805" t="str">
        <f t="shared" si="287"/>
        <v/>
      </c>
      <c r="KW473" s="1805" t="str">
        <f t="shared" si="288"/>
        <v/>
      </c>
      <c r="KX473" s="1805" t="str">
        <f t="shared" si="289"/>
        <v/>
      </c>
      <c r="KY473" s="1805" t="str">
        <f t="shared" si="290"/>
        <v/>
      </c>
      <c r="KZ473" s="1805" t="str">
        <f t="shared" si="291"/>
        <v/>
      </c>
      <c r="LA473" s="1805" t="str">
        <f t="shared" si="292"/>
        <v/>
      </c>
      <c r="LB473" s="1805" t="str">
        <f t="shared" si="293"/>
        <v/>
      </c>
      <c r="LC473" s="1805" t="str">
        <f t="shared" si="294"/>
        <v/>
      </c>
      <c r="LD473" s="1805" t="str">
        <f t="shared" si="295"/>
        <v/>
      </c>
      <c r="LE473" s="1805" t="str">
        <f t="shared" si="296"/>
        <v/>
      </c>
      <c r="LF473" s="1805" t="str">
        <f t="shared" si="297"/>
        <v/>
      </c>
      <c r="LG473" s="1794" t="str">
        <f t="shared" si="298"/>
        <v/>
      </c>
      <c r="LH473" s="1794" t="str">
        <f t="shared" si="299"/>
        <v/>
      </c>
      <c r="LI473" s="1794" t="str">
        <f t="shared" si="300"/>
        <v/>
      </c>
      <c r="LJ473" s="1794" t="str">
        <f t="shared" si="301"/>
        <v/>
      </c>
      <c r="LK473" s="1794"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7">
        <f t="shared" si="323"/>
        <v>0</v>
      </c>
      <c r="MG473" s="1657">
        <f t="shared" si="324"/>
        <v>0</v>
      </c>
      <c r="MH473" s="1657">
        <f t="shared" si="325"/>
        <v>0</v>
      </c>
      <c r="MI473" s="1657">
        <f t="shared" si="326"/>
        <v>0</v>
      </c>
      <c r="MJ473" s="1657">
        <f t="shared" si="327"/>
        <v>0</v>
      </c>
      <c r="MK473" s="1657">
        <f t="shared" si="333"/>
        <v>0</v>
      </c>
      <c r="ML473" s="1657">
        <f t="shared" si="334"/>
        <v>0</v>
      </c>
      <c r="MM473" s="1657">
        <f t="shared" si="335"/>
        <v>0</v>
      </c>
      <c r="MN473" s="1657">
        <f t="shared" si="336"/>
        <v>0</v>
      </c>
      <c r="MO473" s="1657">
        <f t="shared" si="337"/>
        <v>0</v>
      </c>
      <c r="MP473" s="1657">
        <f t="shared" si="328"/>
        <v>0</v>
      </c>
      <c r="MQ473" s="1657">
        <f t="shared" si="329"/>
        <v>0</v>
      </c>
      <c r="MR473" s="1657">
        <f t="shared" si="330"/>
        <v>0</v>
      </c>
      <c r="MS473" s="1657">
        <f t="shared" si="331"/>
        <v>0</v>
      </c>
      <c r="MT473" s="1657">
        <f t="shared" si="332"/>
        <v>0</v>
      </c>
      <c r="NP473" s="356" t="s">
        <v>4328</v>
      </c>
    </row>
    <row r="474" spans="1:380" ht="13.9" customHeight="1">
      <c r="A474" s="2645" t="str">
        <f t="shared" si="0"/>
        <v/>
      </c>
      <c r="B474" s="2664">
        <f>'Part V-Revenues &amp; Expenses'!B36</f>
        <v>0</v>
      </c>
      <c r="C474" s="2665">
        <f>'Part V-Revenues &amp; Expenses'!C36</f>
        <v>0</v>
      </c>
      <c r="D474" s="2666">
        <f>'Part V-Revenues &amp; Expenses'!D36</f>
        <v>0</v>
      </c>
      <c r="E474" s="2667">
        <f>'Part V-Revenues &amp; Expenses'!E36</f>
        <v>0</v>
      </c>
      <c r="F474" s="2667">
        <f>'Part V-Revenues &amp; Expenses'!F36</f>
        <v>0</v>
      </c>
      <c r="G474" s="2667">
        <f>'Part V-Revenues &amp; Expenses'!G36</f>
        <v>0</v>
      </c>
      <c r="H474" s="2667">
        <f>'Part V-Revenues &amp; Expenses'!H36</f>
        <v>0</v>
      </c>
      <c r="I474" s="2667">
        <f>'Part V-Revenues &amp; Expenses'!I36</f>
        <v>0</v>
      </c>
      <c r="J474" s="2667">
        <f>'Part V-Revenues &amp; Expenses'!J36</f>
        <v>0</v>
      </c>
      <c r="K474" s="2668">
        <f>'Part V-Revenues &amp; Expenses'!K36</f>
        <v>0</v>
      </c>
      <c r="L474" s="2669">
        <f t="shared" si="1"/>
        <v>0</v>
      </c>
      <c r="M474" s="2669">
        <f t="shared" si="2"/>
        <v>0</v>
      </c>
      <c r="N474" s="2538">
        <f>'Part V-Revenues &amp; Expenses'!N36</f>
        <v>0</v>
      </c>
      <c r="O474" s="1257">
        <f>'Part V-Revenues &amp; Expenses'!O36</f>
        <v>0</v>
      </c>
      <c r="P474" s="2538">
        <f>'Part V-Revenues &amp; Expenses'!P36</f>
        <v>0</v>
      </c>
      <c r="Q474" s="1804">
        <f>'Part V-Revenues &amp; Expenses'!Q36</f>
        <v>0</v>
      </c>
      <c r="R474" s="2670"/>
      <c r="S474" s="2671"/>
      <c r="T474" s="2672"/>
      <c r="U474" s="2672"/>
      <c r="V474" s="2672"/>
      <c r="W474" s="2672"/>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5" t="str">
        <f t="shared" si="213"/>
        <v/>
      </c>
      <c r="IA474" s="1805" t="str">
        <f t="shared" si="214"/>
        <v/>
      </c>
      <c r="IB474" s="1805" t="str">
        <f t="shared" si="215"/>
        <v/>
      </c>
      <c r="IC474" s="1805" t="str">
        <f t="shared" si="216"/>
        <v/>
      </c>
      <c r="ID474" s="1805" t="str">
        <f t="shared" si="217"/>
        <v/>
      </c>
      <c r="IE474" s="1805" t="str">
        <f t="shared" si="218"/>
        <v/>
      </c>
      <c r="IF474" s="1805" t="str">
        <f t="shared" si="219"/>
        <v/>
      </c>
      <c r="IG474" s="1805" t="str">
        <f t="shared" si="220"/>
        <v/>
      </c>
      <c r="IH474" s="1805" t="str">
        <f t="shared" si="221"/>
        <v/>
      </c>
      <c r="II474" s="1805" t="str">
        <f t="shared" si="222"/>
        <v/>
      </c>
      <c r="IJ474" s="1805" t="str">
        <f t="shared" si="223"/>
        <v/>
      </c>
      <c r="IK474" s="1805" t="str">
        <f t="shared" si="224"/>
        <v/>
      </c>
      <c r="IL474" s="1805" t="str">
        <f t="shared" si="225"/>
        <v/>
      </c>
      <c r="IM474" s="1805" t="str">
        <f t="shared" si="226"/>
        <v/>
      </c>
      <c r="IN474" s="1805" t="str">
        <f t="shared" si="227"/>
        <v/>
      </c>
      <c r="IO474" s="1805" t="str">
        <f t="shared" si="228"/>
        <v/>
      </c>
      <c r="IP474" s="1805" t="str">
        <f t="shared" si="229"/>
        <v/>
      </c>
      <c r="IQ474" s="1805" t="str">
        <f t="shared" si="230"/>
        <v/>
      </c>
      <c r="IR474" s="1805" t="str">
        <f t="shared" si="231"/>
        <v/>
      </c>
      <c r="IS474" s="1805" t="str">
        <f t="shared" si="232"/>
        <v/>
      </c>
      <c r="IT474" s="1805" t="str">
        <f t="shared" si="233"/>
        <v/>
      </c>
      <c r="IU474" s="1805" t="str">
        <f t="shared" si="234"/>
        <v/>
      </c>
      <c r="IV474" s="1805" t="str">
        <f t="shared" si="235"/>
        <v/>
      </c>
      <c r="IW474" s="1805" t="str">
        <f t="shared" si="236"/>
        <v/>
      </c>
      <c r="IX474" s="1805" t="str">
        <f t="shared" si="237"/>
        <v/>
      </c>
      <c r="IY474" s="1805" t="str">
        <f t="shared" si="238"/>
        <v/>
      </c>
      <c r="IZ474" s="1805" t="str">
        <f t="shared" si="239"/>
        <v/>
      </c>
      <c r="JA474" s="1805" t="str">
        <f t="shared" si="240"/>
        <v/>
      </c>
      <c r="JB474" s="1805" t="str">
        <f t="shared" si="241"/>
        <v/>
      </c>
      <c r="JC474" s="1805" t="str">
        <f t="shared" si="242"/>
        <v/>
      </c>
      <c r="JD474" s="1805" t="str">
        <f t="shared" si="243"/>
        <v/>
      </c>
      <c r="JE474" s="1805" t="str">
        <f t="shared" si="244"/>
        <v/>
      </c>
      <c r="JF474" s="1805" t="str">
        <f t="shared" si="245"/>
        <v/>
      </c>
      <c r="JG474" s="1805" t="str">
        <f t="shared" si="246"/>
        <v/>
      </c>
      <c r="JH474" s="1805" t="str">
        <f t="shared" si="247"/>
        <v/>
      </c>
      <c r="JI474" s="1805" t="str">
        <f t="shared" si="248"/>
        <v/>
      </c>
      <c r="JJ474" s="1805" t="str">
        <f t="shared" si="249"/>
        <v/>
      </c>
      <c r="JK474" s="1805" t="str">
        <f t="shared" si="250"/>
        <v/>
      </c>
      <c r="JL474" s="1805" t="str">
        <f t="shared" si="251"/>
        <v/>
      </c>
      <c r="JM474" s="1805" t="str">
        <f t="shared" si="252"/>
        <v/>
      </c>
      <c r="JN474" s="1805" t="str">
        <f t="shared" si="253"/>
        <v/>
      </c>
      <c r="JO474" s="1805" t="str">
        <f t="shared" si="254"/>
        <v/>
      </c>
      <c r="JP474" s="1805" t="str">
        <f t="shared" si="255"/>
        <v/>
      </c>
      <c r="JQ474" s="1805" t="str">
        <f t="shared" si="256"/>
        <v/>
      </c>
      <c r="JR474" s="1805" t="str">
        <f t="shared" si="257"/>
        <v/>
      </c>
      <c r="JS474" s="1805" t="str">
        <f t="shared" si="258"/>
        <v/>
      </c>
      <c r="JT474" s="1805" t="str">
        <f t="shared" si="259"/>
        <v/>
      </c>
      <c r="JU474" s="1805" t="str">
        <f t="shared" si="260"/>
        <v/>
      </c>
      <c r="JV474" s="1805" t="str">
        <f t="shared" si="261"/>
        <v/>
      </c>
      <c r="JW474" s="1805" t="str">
        <f t="shared" si="262"/>
        <v/>
      </c>
      <c r="JX474" s="1805" t="str">
        <f t="shared" si="263"/>
        <v/>
      </c>
      <c r="JY474" s="1805" t="str">
        <f t="shared" si="264"/>
        <v/>
      </c>
      <c r="JZ474" s="1805" t="str">
        <f t="shared" si="265"/>
        <v/>
      </c>
      <c r="KA474" s="1805" t="str">
        <f t="shared" si="266"/>
        <v/>
      </c>
      <c r="KB474" s="1805" t="str">
        <f t="shared" si="267"/>
        <v/>
      </c>
      <c r="KC474" s="1805" t="str">
        <f t="shared" si="268"/>
        <v/>
      </c>
      <c r="KD474" s="1805" t="str">
        <f t="shared" si="269"/>
        <v/>
      </c>
      <c r="KE474" s="1805" t="str">
        <f t="shared" si="270"/>
        <v/>
      </c>
      <c r="KF474" s="1805" t="str">
        <f t="shared" si="271"/>
        <v/>
      </c>
      <c r="KG474" s="1805" t="str">
        <f t="shared" si="272"/>
        <v/>
      </c>
      <c r="KH474" s="1805" t="str">
        <f t="shared" si="273"/>
        <v/>
      </c>
      <c r="KI474" s="1805" t="str">
        <f t="shared" si="274"/>
        <v/>
      </c>
      <c r="KJ474" s="1805" t="str">
        <f t="shared" si="275"/>
        <v/>
      </c>
      <c r="KK474" s="1805" t="str">
        <f t="shared" si="276"/>
        <v/>
      </c>
      <c r="KL474" s="1805" t="str">
        <f t="shared" si="277"/>
        <v/>
      </c>
      <c r="KM474" s="1805" t="str">
        <f t="shared" si="278"/>
        <v/>
      </c>
      <c r="KN474" s="1805" t="str">
        <f t="shared" si="279"/>
        <v/>
      </c>
      <c r="KO474" s="1805" t="str">
        <f t="shared" si="280"/>
        <v/>
      </c>
      <c r="KP474" s="1805" t="str">
        <f t="shared" si="281"/>
        <v/>
      </c>
      <c r="KQ474" s="1805" t="str">
        <f t="shared" si="282"/>
        <v/>
      </c>
      <c r="KR474" s="1805" t="str">
        <f t="shared" si="283"/>
        <v/>
      </c>
      <c r="KS474" s="1805" t="str">
        <f t="shared" si="284"/>
        <v/>
      </c>
      <c r="KT474" s="1805" t="str">
        <f t="shared" si="285"/>
        <v/>
      </c>
      <c r="KU474" s="1805" t="str">
        <f t="shared" si="286"/>
        <v/>
      </c>
      <c r="KV474" s="1805" t="str">
        <f t="shared" si="287"/>
        <v/>
      </c>
      <c r="KW474" s="1805" t="str">
        <f t="shared" si="288"/>
        <v/>
      </c>
      <c r="KX474" s="1805" t="str">
        <f t="shared" si="289"/>
        <v/>
      </c>
      <c r="KY474" s="1805" t="str">
        <f t="shared" si="290"/>
        <v/>
      </c>
      <c r="KZ474" s="1805" t="str">
        <f t="shared" si="291"/>
        <v/>
      </c>
      <c r="LA474" s="1805" t="str">
        <f t="shared" si="292"/>
        <v/>
      </c>
      <c r="LB474" s="1805" t="str">
        <f t="shared" si="293"/>
        <v/>
      </c>
      <c r="LC474" s="1805" t="str">
        <f t="shared" si="294"/>
        <v/>
      </c>
      <c r="LD474" s="1805" t="str">
        <f t="shared" si="295"/>
        <v/>
      </c>
      <c r="LE474" s="1805" t="str">
        <f t="shared" si="296"/>
        <v/>
      </c>
      <c r="LF474" s="1805" t="str">
        <f t="shared" si="297"/>
        <v/>
      </c>
      <c r="LG474" s="1794" t="str">
        <f t="shared" si="298"/>
        <v/>
      </c>
      <c r="LH474" s="1794" t="str">
        <f t="shared" si="299"/>
        <v/>
      </c>
      <c r="LI474" s="1794" t="str">
        <f t="shared" si="300"/>
        <v/>
      </c>
      <c r="LJ474" s="1794" t="str">
        <f t="shared" si="301"/>
        <v/>
      </c>
      <c r="LK474" s="1794"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7">
        <f t="shared" si="323"/>
        <v>0</v>
      </c>
      <c r="MG474" s="1657">
        <f t="shared" si="324"/>
        <v>0</v>
      </c>
      <c r="MH474" s="1657">
        <f t="shared" si="325"/>
        <v>0</v>
      </c>
      <c r="MI474" s="1657">
        <f t="shared" si="326"/>
        <v>0</v>
      </c>
      <c r="MJ474" s="1657">
        <f t="shared" si="327"/>
        <v>0</v>
      </c>
      <c r="MK474" s="1657">
        <f t="shared" si="333"/>
        <v>0</v>
      </c>
      <c r="ML474" s="1657">
        <f t="shared" si="334"/>
        <v>0</v>
      </c>
      <c r="MM474" s="1657">
        <f t="shared" si="335"/>
        <v>0</v>
      </c>
      <c r="MN474" s="1657">
        <f t="shared" si="336"/>
        <v>0</v>
      </c>
      <c r="MO474" s="1657">
        <f t="shared" si="337"/>
        <v>0</v>
      </c>
      <c r="MP474" s="1657">
        <f t="shared" si="328"/>
        <v>0</v>
      </c>
      <c r="MQ474" s="1657">
        <f t="shared" si="329"/>
        <v>0</v>
      </c>
      <c r="MR474" s="1657">
        <f t="shared" si="330"/>
        <v>0</v>
      </c>
      <c r="MS474" s="1657">
        <f t="shared" si="331"/>
        <v>0</v>
      </c>
      <c r="MT474" s="1657">
        <f t="shared" si="332"/>
        <v>0</v>
      </c>
      <c r="NP474" s="356" t="s">
        <v>4329</v>
      </c>
    </row>
    <row r="475" spans="1:380" ht="13.9" customHeight="1">
      <c r="A475" s="2645" t="str">
        <f t="shared" si="0"/>
        <v/>
      </c>
      <c r="B475" s="2664">
        <f>'Part V-Revenues &amp; Expenses'!B37</f>
        <v>0</v>
      </c>
      <c r="C475" s="2665">
        <f>'Part V-Revenues &amp; Expenses'!C37</f>
        <v>0</v>
      </c>
      <c r="D475" s="2666">
        <f>'Part V-Revenues &amp; Expenses'!D37</f>
        <v>0</v>
      </c>
      <c r="E475" s="2667">
        <f>'Part V-Revenues &amp; Expenses'!E37</f>
        <v>0</v>
      </c>
      <c r="F475" s="2667">
        <f>'Part V-Revenues &amp; Expenses'!F37</f>
        <v>0</v>
      </c>
      <c r="G475" s="2667">
        <f>'Part V-Revenues &amp; Expenses'!G37</f>
        <v>0</v>
      </c>
      <c r="H475" s="2667">
        <f>'Part V-Revenues &amp; Expenses'!H37</f>
        <v>0</v>
      </c>
      <c r="I475" s="2667">
        <f>'Part V-Revenues &amp; Expenses'!I37</f>
        <v>0</v>
      </c>
      <c r="J475" s="2667">
        <f>'Part V-Revenues &amp; Expenses'!J37</f>
        <v>0</v>
      </c>
      <c r="K475" s="2668">
        <f>'Part V-Revenues &amp; Expenses'!K37</f>
        <v>0</v>
      </c>
      <c r="L475" s="2669">
        <f t="shared" si="1"/>
        <v>0</v>
      </c>
      <c r="M475" s="2669">
        <f t="shared" si="2"/>
        <v>0</v>
      </c>
      <c r="N475" s="2538">
        <f>'Part V-Revenues &amp; Expenses'!N37</f>
        <v>0</v>
      </c>
      <c r="O475" s="1257">
        <f>'Part V-Revenues &amp; Expenses'!O37</f>
        <v>0</v>
      </c>
      <c r="P475" s="2538">
        <f>'Part V-Revenues &amp; Expenses'!P37</f>
        <v>0</v>
      </c>
      <c r="Q475" s="1804">
        <f>'Part V-Revenues &amp; Expenses'!Q37</f>
        <v>0</v>
      </c>
      <c r="R475" s="2670"/>
      <c r="S475" s="2671"/>
      <c r="T475" s="2672"/>
      <c r="U475" s="2672"/>
      <c r="V475" s="2672"/>
      <c r="W475" s="2672"/>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5" t="str">
        <f t="shared" si="213"/>
        <v/>
      </c>
      <c r="IA475" s="1805" t="str">
        <f t="shared" si="214"/>
        <v/>
      </c>
      <c r="IB475" s="1805" t="str">
        <f t="shared" si="215"/>
        <v/>
      </c>
      <c r="IC475" s="1805" t="str">
        <f t="shared" si="216"/>
        <v/>
      </c>
      <c r="ID475" s="1805" t="str">
        <f t="shared" si="217"/>
        <v/>
      </c>
      <c r="IE475" s="1805" t="str">
        <f t="shared" si="218"/>
        <v/>
      </c>
      <c r="IF475" s="1805" t="str">
        <f t="shared" si="219"/>
        <v/>
      </c>
      <c r="IG475" s="1805" t="str">
        <f t="shared" si="220"/>
        <v/>
      </c>
      <c r="IH475" s="1805" t="str">
        <f t="shared" si="221"/>
        <v/>
      </c>
      <c r="II475" s="1805" t="str">
        <f t="shared" si="222"/>
        <v/>
      </c>
      <c r="IJ475" s="1805" t="str">
        <f t="shared" si="223"/>
        <v/>
      </c>
      <c r="IK475" s="1805" t="str">
        <f t="shared" si="224"/>
        <v/>
      </c>
      <c r="IL475" s="1805" t="str">
        <f t="shared" si="225"/>
        <v/>
      </c>
      <c r="IM475" s="1805" t="str">
        <f t="shared" si="226"/>
        <v/>
      </c>
      <c r="IN475" s="1805" t="str">
        <f t="shared" si="227"/>
        <v/>
      </c>
      <c r="IO475" s="1805" t="str">
        <f t="shared" si="228"/>
        <v/>
      </c>
      <c r="IP475" s="1805" t="str">
        <f t="shared" si="229"/>
        <v/>
      </c>
      <c r="IQ475" s="1805" t="str">
        <f t="shared" si="230"/>
        <v/>
      </c>
      <c r="IR475" s="1805" t="str">
        <f t="shared" si="231"/>
        <v/>
      </c>
      <c r="IS475" s="1805" t="str">
        <f t="shared" si="232"/>
        <v/>
      </c>
      <c r="IT475" s="1805" t="str">
        <f t="shared" si="233"/>
        <v/>
      </c>
      <c r="IU475" s="1805" t="str">
        <f t="shared" si="234"/>
        <v/>
      </c>
      <c r="IV475" s="1805" t="str">
        <f t="shared" si="235"/>
        <v/>
      </c>
      <c r="IW475" s="1805" t="str">
        <f t="shared" si="236"/>
        <v/>
      </c>
      <c r="IX475" s="1805" t="str">
        <f t="shared" si="237"/>
        <v/>
      </c>
      <c r="IY475" s="1805" t="str">
        <f t="shared" si="238"/>
        <v/>
      </c>
      <c r="IZ475" s="1805" t="str">
        <f t="shared" si="239"/>
        <v/>
      </c>
      <c r="JA475" s="1805" t="str">
        <f t="shared" si="240"/>
        <v/>
      </c>
      <c r="JB475" s="1805" t="str">
        <f t="shared" si="241"/>
        <v/>
      </c>
      <c r="JC475" s="1805" t="str">
        <f t="shared" si="242"/>
        <v/>
      </c>
      <c r="JD475" s="1805" t="str">
        <f t="shared" si="243"/>
        <v/>
      </c>
      <c r="JE475" s="1805" t="str">
        <f t="shared" si="244"/>
        <v/>
      </c>
      <c r="JF475" s="1805" t="str">
        <f t="shared" si="245"/>
        <v/>
      </c>
      <c r="JG475" s="1805" t="str">
        <f t="shared" si="246"/>
        <v/>
      </c>
      <c r="JH475" s="1805" t="str">
        <f t="shared" si="247"/>
        <v/>
      </c>
      <c r="JI475" s="1805" t="str">
        <f t="shared" si="248"/>
        <v/>
      </c>
      <c r="JJ475" s="1805" t="str">
        <f t="shared" si="249"/>
        <v/>
      </c>
      <c r="JK475" s="1805" t="str">
        <f t="shared" si="250"/>
        <v/>
      </c>
      <c r="JL475" s="1805" t="str">
        <f t="shared" si="251"/>
        <v/>
      </c>
      <c r="JM475" s="1805" t="str">
        <f t="shared" si="252"/>
        <v/>
      </c>
      <c r="JN475" s="1805" t="str">
        <f t="shared" si="253"/>
        <v/>
      </c>
      <c r="JO475" s="1805" t="str">
        <f t="shared" si="254"/>
        <v/>
      </c>
      <c r="JP475" s="1805" t="str">
        <f t="shared" si="255"/>
        <v/>
      </c>
      <c r="JQ475" s="1805" t="str">
        <f t="shared" si="256"/>
        <v/>
      </c>
      <c r="JR475" s="1805" t="str">
        <f t="shared" si="257"/>
        <v/>
      </c>
      <c r="JS475" s="1805" t="str">
        <f t="shared" si="258"/>
        <v/>
      </c>
      <c r="JT475" s="1805" t="str">
        <f t="shared" si="259"/>
        <v/>
      </c>
      <c r="JU475" s="1805" t="str">
        <f t="shared" si="260"/>
        <v/>
      </c>
      <c r="JV475" s="1805" t="str">
        <f t="shared" si="261"/>
        <v/>
      </c>
      <c r="JW475" s="1805" t="str">
        <f t="shared" si="262"/>
        <v/>
      </c>
      <c r="JX475" s="1805" t="str">
        <f t="shared" si="263"/>
        <v/>
      </c>
      <c r="JY475" s="1805" t="str">
        <f t="shared" si="264"/>
        <v/>
      </c>
      <c r="JZ475" s="1805" t="str">
        <f t="shared" si="265"/>
        <v/>
      </c>
      <c r="KA475" s="1805" t="str">
        <f t="shared" si="266"/>
        <v/>
      </c>
      <c r="KB475" s="1805" t="str">
        <f t="shared" si="267"/>
        <v/>
      </c>
      <c r="KC475" s="1805" t="str">
        <f t="shared" si="268"/>
        <v/>
      </c>
      <c r="KD475" s="1805" t="str">
        <f t="shared" si="269"/>
        <v/>
      </c>
      <c r="KE475" s="1805" t="str">
        <f t="shared" si="270"/>
        <v/>
      </c>
      <c r="KF475" s="1805" t="str">
        <f t="shared" si="271"/>
        <v/>
      </c>
      <c r="KG475" s="1805" t="str">
        <f t="shared" si="272"/>
        <v/>
      </c>
      <c r="KH475" s="1805" t="str">
        <f t="shared" si="273"/>
        <v/>
      </c>
      <c r="KI475" s="1805" t="str">
        <f t="shared" si="274"/>
        <v/>
      </c>
      <c r="KJ475" s="1805" t="str">
        <f t="shared" si="275"/>
        <v/>
      </c>
      <c r="KK475" s="1805" t="str">
        <f t="shared" si="276"/>
        <v/>
      </c>
      <c r="KL475" s="1805" t="str">
        <f t="shared" si="277"/>
        <v/>
      </c>
      <c r="KM475" s="1805" t="str">
        <f t="shared" si="278"/>
        <v/>
      </c>
      <c r="KN475" s="1805" t="str">
        <f t="shared" si="279"/>
        <v/>
      </c>
      <c r="KO475" s="1805" t="str">
        <f t="shared" si="280"/>
        <v/>
      </c>
      <c r="KP475" s="1805" t="str">
        <f t="shared" si="281"/>
        <v/>
      </c>
      <c r="KQ475" s="1805" t="str">
        <f t="shared" si="282"/>
        <v/>
      </c>
      <c r="KR475" s="1805" t="str">
        <f t="shared" si="283"/>
        <v/>
      </c>
      <c r="KS475" s="1805" t="str">
        <f t="shared" si="284"/>
        <v/>
      </c>
      <c r="KT475" s="1805" t="str">
        <f t="shared" si="285"/>
        <v/>
      </c>
      <c r="KU475" s="1805" t="str">
        <f t="shared" si="286"/>
        <v/>
      </c>
      <c r="KV475" s="1805" t="str">
        <f t="shared" si="287"/>
        <v/>
      </c>
      <c r="KW475" s="1805" t="str">
        <f t="shared" si="288"/>
        <v/>
      </c>
      <c r="KX475" s="1805" t="str">
        <f t="shared" si="289"/>
        <v/>
      </c>
      <c r="KY475" s="1805" t="str">
        <f t="shared" si="290"/>
        <v/>
      </c>
      <c r="KZ475" s="1805" t="str">
        <f t="shared" si="291"/>
        <v/>
      </c>
      <c r="LA475" s="1805" t="str">
        <f t="shared" si="292"/>
        <v/>
      </c>
      <c r="LB475" s="1805" t="str">
        <f t="shared" si="293"/>
        <v/>
      </c>
      <c r="LC475" s="1805" t="str">
        <f t="shared" si="294"/>
        <v/>
      </c>
      <c r="LD475" s="1805" t="str">
        <f t="shared" si="295"/>
        <v/>
      </c>
      <c r="LE475" s="1805" t="str">
        <f t="shared" si="296"/>
        <v/>
      </c>
      <c r="LF475" s="1805" t="str">
        <f t="shared" si="297"/>
        <v/>
      </c>
      <c r="LG475" s="1794" t="str">
        <f t="shared" si="298"/>
        <v/>
      </c>
      <c r="LH475" s="1794" t="str">
        <f t="shared" si="299"/>
        <v/>
      </c>
      <c r="LI475" s="1794" t="str">
        <f t="shared" si="300"/>
        <v/>
      </c>
      <c r="LJ475" s="1794" t="str">
        <f t="shared" si="301"/>
        <v/>
      </c>
      <c r="LK475" s="1794"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7">
        <f t="shared" si="323"/>
        <v>0</v>
      </c>
      <c r="MG475" s="1657">
        <f t="shared" si="324"/>
        <v>0</v>
      </c>
      <c r="MH475" s="1657">
        <f t="shared" si="325"/>
        <v>0</v>
      </c>
      <c r="MI475" s="1657">
        <f t="shared" si="326"/>
        <v>0</v>
      </c>
      <c r="MJ475" s="1657">
        <f t="shared" si="327"/>
        <v>0</v>
      </c>
      <c r="MK475" s="1657">
        <f t="shared" si="333"/>
        <v>0</v>
      </c>
      <c r="ML475" s="1657">
        <f t="shared" si="334"/>
        <v>0</v>
      </c>
      <c r="MM475" s="1657">
        <f t="shared" si="335"/>
        <v>0</v>
      </c>
      <c r="MN475" s="1657">
        <f t="shared" si="336"/>
        <v>0</v>
      </c>
      <c r="MO475" s="1657">
        <f t="shared" si="337"/>
        <v>0</v>
      </c>
      <c r="MP475" s="1657">
        <f t="shared" si="328"/>
        <v>0</v>
      </c>
      <c r="MQ475" s="1657">
        <f t="shared" si="329"/>
        <v>0</v>
      </c>
      <c r="MR475" s="1657">
        <f t="shared" si="330"/>
        <v>0</v>
      </c>
      <c r="MS475" s="1657">
        <f t="shared" si="331"/>
        <v>0</v>
      </c>
      <c r="MT475" s="1657">
        <f t="shared" si="332"/>
        <v>0</v>
      </c>
      <c r="NP475" s="356" t="s">
        <v>4330</v>
      </c>
    </row>
    <row r="476" spans="1:380" ht="13.9" customHeight="1">
      <c r="A476" s="2645" t="str">
        <f t="shared" si="0"/>
        <v/>
      </c>
      <c r="B476" s="2664">
        <f>'Part V-Revenues &amp; Expenses'!B38</f>
        <v>0</v>
      </c>
      <c r="C476" s="2665">
        <f>'Part V-Revenues &amp; Expenses'!C38</f>
        <v>0</v>
      </c>
      <c r="D476" s="2666">
        <f>'Part V-Revenues &amp; Expenses'!D38</f>
        <v>0</v>
      </c>
      <c r="E476" s="2667">
        <f>'Part V-Revenues &amp; Expenses'!E38</f>
        <v>0</v>
      </c>
      <c r="F476" s="2667">
        <f>'Part V-Revenues &amp; Expenses'!F38</f>
        <v>0</v>
      </c>
      <c r="G476" s="2667">
        <f>'Part V-Revenues &amp; Expenses'!G38</f>
        <v>0</v>
      </c>
      <c r="H476" s="2667">
        <f>'Part V-Revenues &amp; Expenses'!H38</f>
        <v>0</v>
      </c>
      <c r="I476" s="2667">
        <f>'Part V-Revenues &amp; Expenses'!I38</f>
        <v>0</v>
      </c>
      <c r="J476" s="2667">
        <f>'Part V-Revenues &amp; Expenses'!J38</f>
        <v>0</v>
      </c>
      <c r="K476" s="2668">
        <f>'Part V-Revenues &amp; Expenses'!K38</f>
        <v>0</v>
      </c>
      <c r="L476" s="2669">
        <f t="shared" si="1"/>
        <v>0</v>
      </c>
      <c r="M476" s="2669">
        <f t="shared" si="2"/>
        <v>0</v>
      </c>
      <c r="N476" s="2538">
        <f>'Part V-Revenues &amp; Expenses'!N38</f>
        <v>0</v>
      </c>
      <c r="O476" s="1257">
        <f>'Part V-Revenues &amp; Expenses'!O38</f>
        <v>0</v>
      </c>
      <c r="P476" s="2538">
        <f>'Part V-Revenues &amp; Expenses'!P38</f>
        <v>0</v>
      </c>
      <c r="Q476" s="1804">
        <f>'Part V-Revenues &amp; Expenses'!Q38</f>
        <v>0</v>
      </c>
      <c r="R476" s="2670"/>
      <c r="S476" s="2671"/>
      <c r="T476" s="2672"/>
      <c r="U476" s="2672"/>
      <c r="V476" s="2672"/>
      <c r="W476" s="2672"/>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5" t="str">
        <f t="shared" si="213"/>
        <v/>
      </c>
      <c r="IA476" s="1805" t="str">
        <f t="shared" si="214"/>
        <v/>
      </c>
      <c r="IB476" s="1805" t="str">
        <f t="shared" si="215"/>
        <v/>
      </c>
      <c r="IC476" s="1805" t="str">
        <f t="shared" si="216"/>
        <v/>
      </c>
      <c r="ID476" s="1805" t="str">
        <f t="shared" si="217"/>
        <v/>
      </c>
      <c r="IE476" s="1805" t="str">
        <f t="shared" si="218"/>
        <v/>
      </c>
      <c r="IF476" s="1805" t="str">
        <f t="shared" si="219"/>
        <v/>
      </c>
      <c r="IG476" s="1805" t="str">
        <f t="shared" si="220"/>
        <v/>
      </c>
      <c r="IH476" s="1805" t="str">
        <f t="shared" si="221"/>
        <v/>
      </c>
      <c r="II476" s="1805" t="str">
        <f t="shared" si="222"/>
        <v/>
      </c>
      <c r="IJ476" s="1805" t="str">
        <f t="shared" si="223"/>
        <v/>
      </c>
      <c r="IK476" s="1805" t="str">
        <f t="shared" si="224"/>
        <v/>
      </c>
      <c r="IL476" s="1805" t="str">
        <f t="shared" si="225"/>
        <v/>
      </c>
      <c r="IM476" s="1805" t="str">
        <f t="shared" si="226"/>
        <v/>
      </c>
      <c r="IN476" s="1805" t="str">
        <f t="shared" si="227"/>
        <v/>
      </c>
      <c r="IO476" s="1805" t="str">
        <f t="shared" si="228"/>
        <v/>
      </c>
      <c r="IP476" s="1805" t="str">
        <f t="shared" si="229"/>
        <v/>
      </c>
      <c r="IQ476" s="1805" t="str">
        <f t="shared" si="230"/>
        <v/>
      </c>
      <c r="IR476" s="1805" t="str">
        <f t="shared" si="231"/>
        <v/>
      </c>
      <c r="IS476" s="1805" t="str">
        <f t="shared" si="232"/>
        <v/>
      </c>
      <c r="IT476" s="1805" t="str">
        <f t="shared" si="233"/>
        <v/>
      </c>
      <c r="IU476" s="1805" t="str">
        <f t="shared" si="234"/>
        <v/>
      </c>
      <c r="IV476" s="1805" t="str">
        <f t="shared" si="235"/>
        <v/>
      </c>
      <c r="IW476" s="1805" t="str">
        <f t="shared" si="236"/>
        <v/>
      </c>
      <c r="IX476" s="1805" t="str">
        <f t="shared" si="237"/>
        <v/>
      </c>
      <c r="IY476" s="1805" t="str">
        <f t="shared" si="238"/>
        <v/>
      </c>
      <c r="IZ476" s="1805" t="str">
        <f t="shared" si="239"/>
        <v/>
      </c>
      <c r="JA476" s="1805" t="str">
        <f t="shared" si="240"/>
        <v/>
      </c>
      <c r="JB476" s="1805" t="str">
        <f t="shared" si="241"/>
        <v/>
      </c>
      <c r="JC476" s="1805" t="str">
        <f t="shared" si="242"/>
        <v/>
      </c>
      <c r="JD476" s="1805" t="str">
        <f t="shared" si="243"/>
        <v/>
      </c>
      <c r="JE476" s="1805" t="str">
        <f t="shared" si="244"/>
        <v/>
      </c>
      <c r="JF476" s="1805" t="str">
        <f t="shared" si="245"/>
        <v/>
      </c>
      <c r="JG476" s="1805" t="str">
        <f t="shared" si="246"/>
        <v/>
      </c>
      <c r="JH476" s="1805" t="str">
        <f t="shared" si="247"/>
        <v/>
      </c>
      <c r="JI476" s="1805" t="str">
        <f t="shared" si="248"/>
        <v/>
      </c>
      <c r="JJ476" s="1805" t="str">
        <f t="shared" si="249"/>
        <v/>
      </c>
      <c r="JK476" s="1805" t="str">
        <f t="shared" si="250"/>
        <v/>
      </c>
      <c r="JL476" s="1805" t="str">
        <f t="shared" si="251"/>
        <v/>
      </c>
      <c r="JM476" s="1805" t="str">
        <f t="shared" si="252"/>
        <v/>
      </c>
      <c r="JN476" s="1805" t="str">
        <f t="shared" si="253"/>
        <v/>
      </c>
      <c r="JO476" s="1805" t="str">
        <f t="shared" si="254"/>
        <v/>
      </c>
      <c r="JP476" s="1805" t="str">
        <f t="shared" si="255"/>
        <v/>
      </c>
      <c r="JQ476" s="1805" t="str">
        <f t="shared" si="256"/>
        <v/>
      </c>
      <c r="JR476" s="1805" t="str">
        <f t="shared" si="257"/>
        <v/>
      </c>
      <c r="JS476" s="1805" t="str">
        <f t="shared" si="258"/>
        <v/>
      </c>
      <c r="JT476" s="1805" t="str">
        <f t="shared" si="259"/>
        <v/>
      </c>
      <c r="JU476" s="1805" t="str">
        <f t="shared" si="260"/>
        <v/>
      </c>
      <c r="JV476" s="1805" t="str">
        <f t="shared" si="261"/>
        <v/>
      </c>
      <c r="JW476" s="1805" t="str">
        <f t="shared" si="262"/>
        <v/>
      </c>
      <c r="JX476" s="1805" t="str">
        <f t="shared" si="263"/>
        <v/>
      </c>
      <c r="JY476" s="1805" t="str">
        <f t="shared" si="264"/>
        <v/>
      </c>
      <c r="JZ476" s="1805" t="str">
        <f t="shared" si="265"/>
        <v/>
      </c>
      <c r="KA476" s="1805" t="str">
        <f t="shared" si="266"/>
        <v/>
      </c>
      <c r="KB476" s="1805" t="str">
        <f t="shared" si="267"/>
        <v/>
      </c>
      <c r="KC476" s="1805" t="str">
        <f t="shared" si="268"/>
        <v/>
      </c>
      <c r="KD476" s="1805" t="str">
        <f t="shared" si="269"/>
        <v/>
      </c>
      <c r="KE476" s="1805" t="str">
        <f t="shared" si="270"/>
        <v/>
      </c>
      <c r="KF476" s="1805" t="str">
        <f t="shared" si="271"/>
        <v/>
      </c>
      <c r="KG476" s="1805" t="str">
        <f t="shared" si="272"/>
        <v/>
      </c>
      <c r="KH476" s="1805" t="str">
        <f t="shared" si="273"/>
        <v/>
      </c>
      <c r="KI476" s="1805" t="str">
        <f t="shared" si="274"/>
        <v/>
      </c>
      <c r="KJ476" s="1805" t="str">
        <f t="shared" si="275"/>
        <v/>
      </c>
      <c r="KK476" s="1805" t="str">
        <f t="shared" si="276"/>
        <v/>
      </c>
      <c r="KL476" s="1805" t="str">
        <f t="shared" si="277"/>
        <v/>
      </c>
      <c r="KM476" s="1805" t="str">
        <f t="shared" si="278"/>
        <v/>
      </c>
      <c r="KN476" s="1805" t="str">
        <f t="shared" si="279"/>
        <v/>
      </c>
      <c r="KO476" s="1805" t="str">
        <f t="shared" si="280"/>
        <v/>
      </c>
      <c r="KP476" s="1805" t="str">
        <f t="shared" si="281"/>
        <v/>
      </c>
      <c r="KQ476" s="1805" t="str">
        <f t="shared" si="282"/>
        <v/>
      </c>
      <c r="KR476" s="1805" t="str">
        <f t="shared" si="283"/>
        <v/>
      </c>
      <c r="KS476" s="1805" t="str">
        <f t="shared" si="284"/>
        <v/>
      </c>
      <c r="KT476" s="1805" t="str">
        <f t="shared" si="285"/>
        <v/>
      </c>
      <c r="KU476" s="1805" t="str">
        <f t="shared" si="286"/>
        <v/>
      </c>
      <c r="KV476" s="1805" t="str">
        <f t="shared" si="287"/>
        <v/>
      </c>
      <c r="KW476" s="1805" t="str">
        <f t="shared" si="288"/>
        <v/>
      </c>
      <c r="KX476" s="1805" t="str">
        <f t="shared" si="289"/>
        <v/>
      </c>
      <c r="KY476" s="1805" t="str">
        <f t="shared" si="290"/>
        <v/>
      </c>
      <c r="KZ476" s="1805" t="str">
        <f t="shared" si="291"/>
        <v/>
      </c>
      <c r="LA476" s="1805" t="str">
        <f t="shared" si="292"/>
        <v/>
      </c>
      <c r="LB476" s="1805" t="str">
        <f t="shared" si="293"/>
        <v/>
      </c>
      <c r="LC476" s="1805" t="str">
        <f t="shared" si="294"/>
        <v/>
      </c>
      <c r="LD476" s="1805" t="str">
        <f t="shared" si="295"/>
        <v/>
      </c>
      <c r="LE476" s="1805" t="str">
        <f t="shared" si="296"/>
        <v/>
      </c>
      <c r="LF476" s="1805" t="str">
        <f t="shared" si="297"/>
        <v/>
      </c>
      <c r="LG476" s="1794" t="str">
        <f t="shared" si="298"/>
        <v/>
      </c>
      <c r="LH476" s="1794" t="str">
        <f t="shared" si="299"/>
        <v/>
      </c>
      <c r="LI476" s="1794" t="str">
        <f t="shared" si="300"/>
        <v/>
      </c>
      <c r="LJ476" s="1794" t="str">
        <f t="shared" si="301"/>
        <v/>
      </c>
      <c r="LK476" s="1794"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7">
        <f t="shared" si="323"/>
        <v>0</v>
      </c>
      <c r="MG476" s="1657">
        <f t="shared" si="324"/>
        <v>0</v>
      </c>
      <c r="MH476" s="1657">
        <f t="shared" si="325"/>
        <v>0</v>
      </c>
      <c r="MI476" s="1657">
        <f t="shared" si="326"/>
        <v>0</v>
      </c>
      <c r="MJ476" s="1657">
        <f t="shared" si="327"/>
        <v>0</v>
      </c>
      <c r="MK476" s="1657">
        <f t="shared" si="333"/>
        <v>0</v>
      </c>
      <c r="ML476" s="1657">
        <f t="shared" si="334"/>
        <v>0</v>
      </c>
      <c r="MM476" s="1657">
        <f t="shared" si="335"/>
        <v>0</v>
      </c>
      <c r="MN476" s="1657">
        <f t="shared" si="336"/>
        <v>0</v>
      </c>
      <c r="MO476" s="1657">
        <f t="shared" si="337"/>
        <v>0</v>
      </c>
      <c r="MP476" s="1657">
        <f t="shared" si="328"/>
        <v>0</v>
      </c>
      <c r="MQ476" s="1657">
        <f t="shared" si="329"/>
        <v>0</v>
      </c>
      <c r="MR476" s="1657">
        <f t="shared" si="330"/>
        <v>0</v>
      </c>
      <c r="MS476" s="1657">
        <f t="shared" si="331"/>
        <v>0</v>
      </c>
      <c r="MT476" s="1657">
        <f t="shared" si="332"/>
        <v>0</v>
      </c>
      <c r="NP476" s="356" t="s">
        <v>4331</v>
      </c>
    </row>
    <row r="477" spans="1:380" ht="13.9" customHeight="1">
      <c r="A477" s="2645" t="str">
        <f t="shared" si="0"/>
        <v/>
      </c>
      <c r="B477" s="2664">
        <f>'Part V-Revenues &amp; Expenses'!B39</f>
        <v>0</v>
      </c>
      <c r="C477" s="2665">
        <f>'Part V-Revenues &amp; Expenses'!C39</f>
        <v>0</v>
      </c>
      <c r="D477" s="2666">
        <f>'Part V-Revenues &amp; Expenses'!D39</f>
        <v>0</v>
      </c>
      <c r="E477" s="2667">
        <f>'Part V-Revenues &amp; Expenses'!E39</f>
        <v>0</v>
      </c>
      <c r="F477" s="2667">
        <f>'Part V-Revenues &amp; Expenses'!F39</f>
        <v>0</v>
      </c>
      <c r="G477" s="2667">
        <f>'Part V-Revenues &amp; Expenses'!G39</f>
        <v>0</v>
      </c>
      <c r="H477" s="2667">
        <f>'Part V-Revenues &amp; Expenses'!H39</f>
        <v>0</v>
      </c>
      <c r="I477" s="2667">
        <f>'Part V-Revenues &amp; Expenses'!I39</f>
        <v>0</v>
      </c>
      <c r="J477" s="2667">
        <f>'Part V-Revenues &amp; Expenses'!J39</f>
        <v>0</v>
      </c>
      <c r="K477" s="2668">
        <f>'Part V-Revenues &amp; Expenses'!K39</f>
        <v>0</v>
      </c>
      <c r="L477" s="2669">
        <f t="shared" si="1"/>
        <v>0</v>
      </c>
      <c r="M477" s="2669">
        <f t="shared" si="2"/>
        <v>0</v>
      </c>
      <c r="N477" s="2538">
        <f>'Part V-Revenues &amp; Expenses'!N39</f>
        <v>0</v>
      </c>
      <c r="O477" s="1257">
        <f>'Part V-Revenues &amp; Expenses'!O39</f>
        <v>0</v>
      </c>
      <c r="P477" s="2538">
        <f>'Part V-Revenues &amp; Expenses'!P39</f>
        <v>0</v>
      </c>
      <c r="Q477" s="1804">
        <f>'Part V-Revenues &amp; Expenses'!Q39</f>
        <v>0</v>
      </c>
      <c r="R477" s="2670"/>
      <c r="S477" s="2671"/>
      <c r="T477" s="2672"/>
      <c r="U477" s="2672"/>
      <c r="V477" s="2672"/>
      <c r="W477" s="2672"/>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5" t="str">
        <f t="shared" si="213"/>
        <v/>
      </c>
      <c r="IA477" s="1805" t="str">
        <f t="shared" si="214"/>
        <v/>
      </c>
      <c r="IB477" s="1805" t="str">
        <f t="shared" si="215"/>
        <v/>
      </c>
      <c r="IC477" s="1805" t="str">
        <f t="shared" si="216"/>
        <v/>
      </c>
      <c r="ID477" s="1805" t="str">
        <f t="shared" si="217"/>
        <v/>
      </c>
      <c r="IE477" s="1805" t="str">
        <f t="shared" si="218"/>
        <v/>
      </c>
      <c r="IF477" s="1805" t="str">
        <f t="shared" si="219"/>
        <v/>
      </c>
      <c r="IG477" s="1805" t="str">
        <f t="shared" si="220"/>
        <v/>
      </c>
      <c r="IH477" s="1805" t="str">
        <f t="shared" si="221"/>
        <v/>
      </c>
      <c r="II477" s="1805" t="str">
        <f t="shared" si="222"/>
        <v/>
      </c>
      <c r="IJ477" s="1805" t="str">
        <f t="shared" si="223"/>
        <v/>
      </c>
      <c r="IK477" s="1805" t="str">
        <f t="shared" si="224"/>
        <v/>
      </c>
      <c r="IL477" s="1805" t="str">
        <f t="shared" si="225"/>
        <v/>
      </c>
      <c r="IM477" s="1805" t="str">
        <f t="shared" si="226"/>
        <v/>
      </c>
      <c r="IN477" s="1805" t="str">
        <f t="shared" si="227"/>
        <v/>
      </c>
      <c r="IO477" s="1805" t="str">
        <f t="shared" si="228"/>
        <v/>
      </c>
      <c r="IP477" s="1805" t="str">
        <f t="shared" si="229"/>
        <v/>
      </c>
      <c r="IQ477" s="1805" t="str">
        <f t="shared" si="230"/>
        <v/>
      </c>
      <c r="IR477" s="1805" t="str">
        <f t="shared" si="231"/>
        <v/>
      </c>
      <c r="IS477" s="1805" t="str">
        <f t="shared" si="232"/>
        <v/>
      </c>
      <c r="IT477" s="1805" t="str">
        <f t="shared" si="233"/>
        <v/>
      </c>
      <c r="IU477" s="1805" t="str">
        <f t="shared" si="234"/>
        <v/>
      </c>
      <c r="IV477" s="1805" t="str">
        <f t="shared" si="235"/>
        <v/>
      </c>
      <c r="IW477" s="1805" t="str">
        <f t="shared" si="236"/>
        <v/>
      </c>
      <c r="IX477" s="1805" t="str">
        <f t="shared" si="237"/>
        <v/>
      </c>
      <c r="IY477" s="1805" t="str">
        <f t="shared" si="238"/>
        <v/>
      </c>
      <c r="IZ477" s="1805" t="str">
        <f t="shared" si="239"/>
        <v/>
      </c>
      <c r="JA477" s="1805" t="str">
        <f t="shared" si="240"/>
        <v/>
      </c>
      <c r="JB477" s="1805" t="str">
        <f t="shared" si="241"/>
        <v/>
      </c>
      <c r="JC477" s="1805" t="str">
        <f t="shared" si="242"/>
        <v/>
      </c>
      <c r="JD477" s="1805" t="str">
        <f t="shared" si="243"/>
        <v/>
      </c>
      <c r="JE477" s="1805" t="str">
        <f t="shared" si="244"/>
        <v/>
      </c>
      <c r="JF477" s="1805" t="str">
        <f t="shared" si="245"/>
        <v/>
      </c>
      <c r="JG477" s="1805" t="str">
        <f t="shared" si="246"/>
        <v/>
      </c>
      <c r="JH477" s="1805" t="str">
        <f t="shared" si="247"/>
        <v/>
      </c>
      <c r="JI477" s="1805" t="str">
        <f t="shared" si="248"/>
        <v/>
      </c>
      <c r="JJ477" s="1805" t="str">
        <f t="shared" si="249"/>
        <v/>
      </c>
      <c r="JK477" s="1805" t="str">
        <f t="shared" si="250"/>
        <v/>
      </c>
      <c r="JL477" s="1805" t="str">
        <f t="shared" si="251"/>
        <v/>
      </c>
      <c r="JM477" s="1805" t="str">
        <f t="shared" si="252"/>
        <v/>
      </c>
      <c r="JN477" s="1805" t="str">
        <f t="shared" si="253"/>
        <v/>
      </c>
      <c r="JO477" s="1805" t="str">
        <f t="shared" si="254"/>
        <v/>
      </c>
      <c r="JP477" s="1805" t="str">
        <f t="shared" si="255"/>
        <v/>
      </c>
      <c r="JQ477" s="1805" t="str">
        <f t="shared" si="256"/>
        <v/>
      </c>
      <c r="JR477" s="1805" t="str">
        <f t="shared" si="257"/>
        <v/>
      </c>
      <c r="JS477" s="1805" t="str">
        <f t="shared" si="258"/>
        <v/>
      </c>
      <c r="JT477" s="1805" t="str">
        <f t="shared" si="259"/>
        <v/>
      </c>
      <c r="JU477" s="1805" t="str">
        <f t="shared" si="260"/>
        <v/>
      </c>
      <c r="JV477" s="1805" t="str">
        <f t="shared" si="261"/>
        <v/>
      </c>
      <c r="JW477" s="1805" t="str">
        <f t="shared" si="262"/>
        <v/>
      </c>
      <c r="JX477" s="1805" t="str">
        <f t="shared" si="263"/>
        <v/>
      </c>
      <c r="JY477" s="1805" t="str">
        <f t="shared" si="264"/>
        <v/>
      </c>
      <c r="JZ477" s="1805" t="str">
        <f t="shared" si="265"/>
        <v/>
      </c>
      <c r="KA477" s="1805" t="str">
        <f t="shared" si="266"/>
        <v/>
      </c>
      <c r="KB477" s="1805" t="str">
        <f t="shared" si="267"/>
        <v/>
      </c>
      <c r="KC477" s="1805" t="str">
        <f t="shared" si="268"/>
        <v/>
      </c>
      <c r="KD477" s="1805" t="str">
        <f t="shared" si="269"/>
        <v/>
      </c>
      <c r="KE477" s="1805" t="str">
        <f t="shared" si="270"/>
        <v/>
      </c>
      <c r="KF477" s="1805" t="str">
        <f t="shared" si="271"/>
        <v/>
      </c>
      <c r="KG477" s="1805" t="str">
        <f t="shared" si="272"/>
        <v/>
      </c>
      <c r="KH477" s="1805" t="str">
        <f t="shared" si="273"/>
        <v/>
      </c>
      <c r="KI477" s="1805" t="str">
        <f t="shared" si="274"/>
        <v/>
      </c>
      <c r="KJ477" s="1805" t="str">
        <f t="shared" si="275"/>
        <v/>
      </c>
      <c r="KK477" s="1805" t="str">
        <f t="shared" si="276"/>
        <v/>
      </c>
      <c r="KL477" s="1805" t="str">
        <f t="shared" si="277"/>
        <v/>
      </c>
      <c r="KM477" s="1805" t="str">
        <f t="shared" si="278"/>
        <v/>
      </c>
      <c r="KN477" s="1805" t="str">
        <f t="shared" si="279"/>
        <v/>
      </c>
      <c r="KO477" s="1805" t="str">
        <f t="shared" si="280"/>
        <v/>
      </c>
      <c r="KP477" s="1805" t="str">
        <f t="shared" si="281"/>
        <v/>
      </c>
      <c r="KQ477" s="1805" t="str">
        <f t="shared" si="282"/>
        <v/>
      </c>
      <c r="KR477" s="1805" t="str">
        <f t="shared" si="283"/>
        <v/>
      </c>
      <c r="KS477" s="1805" t="str">
        <f t="shared" si="284"/>
        <v/>
      </c>
      <c r="KT477" s="1805" t="str">
        <f t="shared" si="285"/>
        <v/>
      </c>
      <c r="KU477" s="1805" t="str">
        <f t="shared" si="286"/>
        <v/>
      </c>
      <c r="KV477" s="1805" t="str">
        <f t="shared" si="287"/>
        <v/>
      </c>
      <c r="KW477" s="1805" t="str">
        <f t="shared" si="288"/>
        <v/>
      </c>
      <c r="KX477" s="1805" t="str">
        <f t="shared" si="289"/>
        <v/>
      </c>
      <c r="KY477" s="1805" t="str">
        <f t="shared" si="290"/>
        <v/>
      </c>
      <c r="KZ477" s="1805" t="str">
        <f t="shared" si="291"/>
        <v/>
      </c>
      <c r="LA477" s="1805" t="str">
        <f t="shared" si="292"/>
        <v/>
      </c>
      <c r="LB477" s="1805" t="str">
        <f t="shared" si="293"/>
        <v/>
      </c>
      <c r="LC477" s="1805" t="str">
        <f t="shared" si="294"/>
        <v/>
      </c>
      <c r="LD477" s="1805" t="str">
        <f t="shared" si="295"/>
        <v/>
      </c>
      <c r="LE477" s="1805" t="str">
        <f t="shared" si="296"/>
        <v/>
      </c>
      <c r="LF477" s="1805" t="str">
        <f t="shared" si="297"/>
        <v/>
      </c>
      <c r="LG477" s="1794" t="str">
        <f t="shared" si="298"/>
        <v/>
      </c>
      <c r="LH477" s="1794" t="str">
        <f t="shared" si="299"/>
        <v/>
      </c>
      <c r="LI477" s="1794" t="str">
        <f t="shared" si="300"/>
        <v/>
      </c>
      <c r="LJ477" s="1794" t="str">
        <f t="shared" si="301"/>
        <v/>
      </c>
      <c r="LK477" s="1794"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7">
        <f t="shared" si="323"/>
        <v>0</v>
      </c>
      <c r="MG477" s="1657">
        <f t="shared" si="324"/>
        <v>0</v>
      </c>
      <c r="MH477" s="1657">
        <f t="shared" si="325"/>
        <v>0</v>
      </c>
      <c r="MI477" s="1657">
        <f t="shared" si="326"/>
        <v>0</v>
      </c>
      <c r="MJ477" s="1657">
        <f t="shared" si="327"/>
        <v>0</v>
      </c>
      <c r="MK477" s="1657">
        <f t="shared" si="333"/>
        <v>0</v>
      </c>
      <c r="ML477" s="1657">
        <f t="shared" si="334"/>
        <v>0</v>
      </c>
      <c r="MM477" s="1657">
        <f t="shared" si="335"/>
        <v>0</v>
      </c>
      <c r="MN477" s="1657">
        <f t="shared" si="336"/>
        <v>0</v>
      </c>
      <c r="MO477" s="1657">
        <f t="shared" si="337"/>
        <v>0</v>
      </c>
      <c r="MP477" s="1657">
        <f t="shared" si="328"/>
        <v>0</v>
      </c>
      <c r="MQ477" s="1657">
        <f t="shared" si="329"/>
        <v>0</v>
      </c>
      <c r="MR477" s="1657">
        <f t="shared" si="330"/>
        <v>0</v>
      </c>
      <c r="MS477" s="1657">
        <f t="shared" si="331"/>
        <v>0</v>
      </c>
      <c r="MT477" s="1657">
        <f t="shared" si="332"/>
        <v>0</v>
      </c>
      <c r="NP477" s="356" t="s">
        <v>4332</v>
      </c>
    </row>
    <row r="478" spans="1:380" ht="13.9" customHeight="1">
      <c r="A478" s="2645" t="str">
        <f t="shared" si="0"/>
        <v/>
      </c>
      <c r="B478" s="2664">
        <f>'Part V-Revenues &amp; Expenses'!B40</f>
        <v>0</v>
      </c>
      <c r="C478" s="2665">
        <f>'Part V-Revenues &amp; Expenses'!C40</f>
        <v>0</v>
      </c>
      <c r="D478" s="2666">
        <f>'Part V-Revenues &amp; Expenses'!D40</f>
        <v>0</v>
      </c>
      <c r="E478" s="2667">
        <f>'Part V-Revenues &amp; Expenses'!E40</f>
        <v>0</v>
      </c>
      <c r="F478" s="2667">
        <f>'Part V-Revenues &amp; Expenses'!F40</f>
        <v>0</v>
      </c>
      <c r="G478" s="2667">
        <f>'Part V-Revenues &amp; Expenses'!G40</f>
        <v>0</v>
      </c>
      <c r="H478" s="2667">
        <f>'Part V-Revenues &amp; Expenses'!H40</f>
        <v>0</v>
      </c>
      <c r="I478" s="2667">
        <f>'Part V-Revenues &amp; Expenses'!I40</f>
        <v>0</v>
      </c>
      <c r="J478" s="2667">
        <f>'Part V-Revenues &amp; Expenses'!J40</f>
        <v>0</v>
      </c>
      <c r="K478" s="2668">
        <f>'Part V-Revenues &amp; Expenses'!K40</f>
        <v>0</v>
      </c>
      <c r="L478" s="2669">
        <f t="shared" si="1"/>
        <v>0</v>
      </c>
      <c r="M478" s="2669">
        <f t="shared" si="2"/>
        <v>0</v>
      </c>
      <c r="N478" s="2538">
        <f>'Part V-Revenues &amp; Expenses'!N40</f>
        <v>0</v>
      </c>
      <c r="O478" s="1257">
        <f>'Part V-Revenues &amp; Expenses'!O40</f>
        <v>0</v>
      </c>
      <c r="P478" s="2538">
        <f>'Part V-Revenues &amp; Expenses'!P40</f>
        <v>0</v>
      </c>
      <c r="Q478" s="1804">
        <f>'Part V-Revenues &amp; Expenses'!Q40</f>
        <v>0</v>
      </c>
      <c r="R478" s="2670"/>
      <c r="S478" s="2671"/>
      <c r="T478" s="2672"/>
      <c r="U478" s="2672"/>
      <c r="V478" s="2672"/>
      <c r="W478" s="2672"/>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5" t="str">
        <f t="shared" si="213"/>
        <v/>
      </c>
      <c r="IA478" s="1805" t="str">
        <f t="shared" si="214"/>
        <v/>
      </c>
      <c r="IB478" s="1805" t="str">
        <f t="shared" si="215"/>
        <v/>
      </c>
      <c r="IC478" s="1805" t="str">
        <f t="shared" si="216"/>
        <v/>
      </c>
      <c r="ID478" s="1805" t="str">
        <f t="shared" si="217"/>
        <v/>
      </c>
      <c r="IE478" s="1805" t="str">
        <f t="shared" si="218"/>
        <v/>
      </c>
      <c r="IF478" s="1805" t="str">
        <f t="shared" si="219"/>
        <v/>
      </c>
      <c r="IG478" s="1805" t="str">
        <f t="shared" si="220"/>
        <v/>
      </c>
      <c r="IH478" s="1805" t="str">
        <f t="shared" si="221"/>
        <v/>
      </c>
      <c r="II478" s="1805" t="str">
        <f t="shared" si="222"/>
        <v/>
      </c>
      <c r="IJ478" s="1805" t="str">
        <f t="shared" si="223"/>
        <v/>
      </c>
      <c r="IK478" s="1805" t="str">
        <f t="shared" si="224"/>
        <v/>
      </c>
      <c r="IL478" s="1805" t="str">
        <f t="shared" si="225"/>
        <v/>
      </c>
      <c r="IM478" s="1805" t="str">
        <f t="shared" si="226"/>
        <v/>
      </c>
      <c r="IN478" s="1805" t="str">
        <f t="shared" si="227"/>
        <v/>
      </c>
      <c r="IO478" s="1805" t="str">
        <f t="shared" si="228"/>
        <v/>
      </c>
      <c r="IP478" s="1805" t="str">
        <f t="shared" si="229"/>
        <v/>
      </c>
      <c r="IQ478" s="1805" t="str">
        <f t="shared" si="230"/>
        <v/>
      </c>
      <c r="IR478" s="1805" t="str">
        <f t="shared" si="231"/>
        <v/>
      </c>
      <c r="IS478" s="1805" t="str">
        <f t="shared" si="232"/>
        <v/>
      </c>
      <c r="IT478" s="1805" t="str">
        <f t="shared" si="233"/>
        <v/>
      </c>
      <c r="IU478" s="1805" t="str">
        <f t="shared" si="234"/>
        <v/>
      </c>
      <c r="IV478" s="1805" t="str">
        <f t="shared" si="235"/>
        <v/>
      </c>
      <c r="IW478" s="1805" t="str">
        <f t="shared" si="236"/>
        <v/>
      </c>
      <c r="IX478" s="1805" t="str">
        <f t="shared" si="237"/>
        <v/>
      </c>
      <c r="IY478" s="1805" t="str">
        <f t="shared" si="238"/>
        <v/>
      </c>
      <c r="IZ478" s="1805" t="str">
        <f t="shared" si="239"/>
        <v/>
      </c>
      <c r="JA478" s="1805" t="str">
        <f t="shared" si="240"/>
        <v/>
      </c>
      <c r="JB478" s="1805" t="str">
        <f t="shared" si="241"/>
        <v/>
      </c>
      <c r="JC478" s="1805" t="str">
        <f t="shared" si="242"/>
        <v/>
      </c>
      <c r="JD478" s="1805" t="str">
        <f t="shared" si="243"/>
        <v/>
      </c>
      <c r="JE478" s="1805" t="str">
        <f t="shared" si="244"/>
        <v/>
      </c>
      <c r="JF478" s="1805" t="str">
        <f t="shared" si="245"/>
        <v/>
      </c>
      <c r="JG478" s="1805" t="str">
        <f t="shared" si="246"/>
        <v/>
      </c>
      <c r="JH478" s="1805" t="str">
        <f t="shared" si="247"/>
        <v/>
      </c>
      <c r="JI478" s="1805" t="str">
        <f t="shared" si="248"/>
        <v/>
      </c>
      <c r="JJ478" s="1805" t="str">
        <f t="shared" si="249"/>
        <v/>
      </c>
      <c r="JK478" s="1805" t="str">
        <f t="shared" si="250"/>
        <v/>
      </c>
      <c r="JL478" s="1805" t="str">
        <f t="shared" si="251"/>
        <v/>
      </c>
      <c r="JM478" s="1805" t="str">
        <f t="shared" si="252"/>
        <v/>
      </c>
      <c r="JN478" s="1805" t="str">
        <f t="shared" si="253"/>
        <v/>
      </c>
      <c r="JO478" s="1805" t="str">
        <f t="shared" si="254"/>
        <v/>
      </c>
      <c r="JP478" s="1805" t="str">
        <f t="shared" si="255"/>
        <v/>
      </c>
      <c r="JQ478" s="1805" t="str">
        <f t="shared" si="256"/>
        <v/>
      </c>
      <c r="JR478" s="1805" t="str">
        <f t="shared" si="257"/>
        <v/>
      </c>
      <c r="JS478" s="1805" t="str">
        <f t="shared" si="258"/>
        <v/>
      </c>
      <c r="JT478" s="1805" t="str">
        <f t="shared" si="259"/>
        <v/>
      </c>
      <c r="JU478" s="1805" t="str">
        <f t="shared" si="260"/>
        <v/>
      </c>
      <c r="JV478" s="1805" t="str">
        <f t="shared" si="261"/>
        <v/>
      </c>
      <c r="JW478" s="1805" t="str">
        <f t="shared" si="262"/>
        <v/>
      </c>
      <c r="JX478" s="1805" t="str">
        <f t="shared" si="263"/>
        <v/>
      </c>
      <c r="JY478" s="1805" t="str">
        <f t="shared" si="264"/>
        <v/>
      </c>
      <c r="JZ478" s="1805" t="str">
        <f t="shared" si="265"/>
        <v/>
      </c>
      <c r="KA478" s="1805" t="str">
        <f t="shared" si="266"/>
        <v/>
      </c>
      <c r="KB478" s="1805" t="str">
        <f t="shared" si="267"/>
        <v/>
      </c>
      <c r="KC478" s="1805" t="str">
        <f t="shared" si="268"/>
        <v/>
      </c>
      <c r="KD478" s="1805" t="str">
        <f t="shared" si="269"/>
        <v/>
      </c>
      <c r="KE478" s="1805" t="str">
        <f t="shared" si="270"/>
        <v/>
      </c>
      <c r="KF478" s="1805" t="str">
        <f t="shared" si="271"/>
        <v/>
      </c>
      <c r="KG478" s="1805" t="str">
        <f t="shared" si="272"/>
        <v/>
      </c>
      <c r="KH478" s="1805" t="str">
        <f t="shared" si="273"/>
        <v/>
      </c>
      <c r="KI478" s="1805" t="str">
        <f t="shared" si="274"/>
        <v/>
      </c>
      <c r="KJ478" s="1805" t="str">
        <f t="shared" si="275"/>
        <v/>
      </c>
      <c r="KK478" s="1805" t="str">
        <f t="shared" si="276"/>
        <v/>
      </c>
      <c r="KL478" s="1805" t="str">
        <f t="shared" si="277"/>
        <v/>
      </c>
      <c r="KM478" s="1805" t="str">
        <f t="shared" si="278"/>
        <v/>
      </c>
      <c r="KN478" s="1805" t="str">
        <f t="shared" si="279"/>
        <v/>
      </c>
      <c r="KO478" s="1805" t="str">
        <f t="shared" si="280"/>
        <v/>
      </c>
      <c r="KP478" s="1805" t="str">
        <f t="shared" si="281"/>
        <v/>
      </c>
      <c r="KQ478" s="1805" t="str">
        <f t="shared" si="282"/>
        <v/>
      </c>
      <c r="KR478" s="1805" t="str">
        <f t="shared" si="283"/>
        <v/>
      </c>
      <c r="KS478" s="1805" t="str">
        <f t="shared" si="284"/>
        <v/>
      </c>
      <c r="KT478" s="1805" t="str">
        <f t="shared" si="285"/>
        <v/>
      </c>
      <c r="KU478" s="1805" t="str">
        <f t="shared" si="286"/>
        <v/>
      </c>
      <c r="KV478" s="1805" t="str">
        <f t="shared" si="287"/>
        <v/>
      </c>
      <c r="KW478" s="1805" t="str">
        <f t="shared" si="288"/>
        <v/>
      </c>
      <c r="KX478" s="1805" t="str">
        <f t="shared" si="289"/>
        <v/>
      </c>
      <c r="KY478" s="1805" t="str">
        <f t="shared" si="290"/>
        <v/>
      </c>
      <c r="KZ478" s="1805" t="str">
        <f t="shared" si="291"/>
        <v/>
      </c>
      <c r="LA478" s="1805" t="str">
        <f t="shared" si="292"/>
        <v/>
      </c>
      <c r="LB478" s="1805" t="str">
        <f t="shared" si="293"/>
        <v/>
      </c>
      <c r="LC478" s="1805" t="str">
        <f t="shared" si="294"/>
        <v/>
      </c>
      <c r="LD478" s="1805" t="str">
        <f t="shared" si="295"/>
        <v/>
      </c>
      <c r="LE478" s="1805" t="str">
        <f t="shared" si="296"/>
        <v/>
      </c>
      <c r="LF478" s="1805" t="str">
        <f t="shared" si="297"/>
        <v/>
      </c>
      <c r="LG478" s="1794" t="str">
        <f t="shared" si="298"/>
        <v/>
      </c>
      <c r="LH478" s="1794" t="str">
        <f t="shared" si="299"/>
        <v/>
      </c>
      <c r="LI478" s="1794" t="str">
        <f t="shared" si="300"/>
        <v/>
      </c>
      <c r="LJ478" s="1794" t="str">
        <f t="shared" si="301"/>
        <v/>
      </c>
      <c r="LK478" s="1794"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7">
        <f t="shared" si="323"/>
        <v>0</v>
      </c>
      <c r="MG478" s="1657">
        <f t="shared" si="324"/>
        <v>0</v>
      </c>
      <c r="MH478" s="1657">
        <f t="shared" si="325"/>
        <v>0</v>
      </c>
      <c r="MI478" s="1657">
        <f t="shared" si="326"/>
        <v>0</v>
      </c>
      <c r="MJ478" s="1657">
        <f t="shared" si="327"/>
        <v>0</v>
      </c>
      <c r="MK478" s="1657">
        <f t="shared" si="333"/>
        <v>0</v>
      </c>
      <c r="ML478" s="1657">
        <f t="shared" si="334"/>
        <v>0</v>
      </c>
      <c r="MM478" s="1657">
        <f t="shared" si="335"/>
        <v>0</v>
      </c>
      <c r="MN478" s="1657">
        <f t="shared" si="336"/>
        <v>0</v>
      </c>
      <c r="MO478" s="1657">
        <f t="shared" si="337"/>
        <v>0</v>
      </c>
      <c r="MP478" s="1657">
        <f t="shared" si="328"/>
        <v>0</v>
      </c>
      <c r="MQ478" s="1657">
        <f t="shared" si="329"/>
        <v>0</v>
      </c>
      <c r="MR478" s="1657">
        <f t="shared" si="330"/>
        <v>0</v>
      </c>
      <c r="MS478" s="1657">
        <f t="shared" si="331"/>
        <v>0</v>
      </c>
      <c r="MT478" s="1657">
        <f t="shared" si="332"/>
        <v>0</v>
      </c>
      <c r="NP478" s="356" t="s">
        <v>4333</v>
      </c>
    </row>
    <row r="479" spans="1:380" ht="13.9" customHeight="1">
      <c r="A479" s="2645" t="str">
        <f t="shared" si="0"/>
        <v/>
      </c>
      <c r="B479" s="2664">
        <f>'Part V-Revenues &amp; Expenses'!B41</f>
        <v>0</v>
      </c>
      <c r="C479" s="2665">
        <f>'Part V-Revenues &amp; Expenses'!C41</f>
        <v>0</v>
      </c>
      <c r="D479" s="2666">
        <f>'Part V-Revenues &amp; Expenses'!D41</f>
        <v>0</v>
      </c>
      <c r="E479" s="2667">
        <f>'Part V-Revenues &amp; Expenses'!E41</f>
        <v>0</v>
      </c>
      <c r="F479" s="2667">
        <f>'Part V-Revenues &amp; Expenses'!F41</f>
        <v>0</v>
      </c>
      <c r="G479" s="2667">
        <f>'Part V-Revenues &amp; Expenses'!G41</f>
        <v>0</v>
      </c>
      <c r="H479" s="2667">
        <f>'Part V-Revenues &amp; Expenses'!H41</f>
        <v>0</v>
      </c>
      <c r="I479" s="2667">
        <f>'Part V-Revenues &amp; Expenses'!I41</f>
        <v>0</v>
      </c>
      <c r="J479" s="2667">
        <f>'Part V-Revenues &amp; Expenses'!J41</f>
        <v>0</v>
      </c>
      <c r="K479" s="2668">
        <f>'Part V-Revenues &amp; Expenses'!K41</f>
        <v>0</v>
      </c>
      <c r="L479" s="2669">
        <f t="shared" si="1"/>
        <v>0</v>
      </c>
      <c r="M479" s="2669">
        <f t="shared" si="2"/>
        <v>0</v>
      </c>
      <c r="N479" s="2538">
        <f>'Part V-Revenues &amp; Expenses'!N41</f>
        <v>0</v>
      </c>
      <c r="O479" s="1257">
        <f>'Part V-Revenues &amp; Expenses'!O41</f>
        <v>0</v>
      </c>
      <c r="P479" s="2538">
        <f>'Part V-Revenues &amp; Expenses'!P41</f>
        <v>0</v>
      </c>
      <c r="Q479" s="1804">
        <f>'Part V-Revenues &amp; Expenses'!Q41</f>
        <v>0</v>
      </c>
      <c r="R479" s="2670"/>
      <c r="S479" s="2671"/>
      <c r="T479" s="2672"/>
      <c r="U479" s="2672"/>
      <c r="V479" s="2672"/>
      <c r="W479" s="2672"/>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5" t="str">
        <f t="shared" si="213"/>
        <v/>
      </c>
      <c r="IA479" s="1805" t="str">
        <f t="shared" si="214"/>
        <v/>
      </c>
      <c r="IB479" s="1805" t="str">
        <f t="shared" si="215"/>
        <v/>
      </c>
      <c r="IC479" s="1805" t="str">
        <f t="shared" si="216"/>
        <v/>
      </c>
      <c r="ID479" s="1805" t="str">
        <f t="shared" si="217"/>
        <v/>
      </c>
      <c r="IE479" s="1805" t="str">
        <f t="shared" si="218"/>
        <v/>
      </c>
      <c r="IF479" s="1805" t="str">
        <f t="shared" si="219"/>
        <v/>
      </c>
      <c r="IG479" s="1805" t="str">
        <f t="shared" si="220"/>
        <v/>
      </c>
      <c r="IH479" s="1805" t="str">
        <f t="shared" si="221"/>
        <v/>
      </c>
      <c r="II479" s="1805" t="str">
        <f t="shared" si="222"/>
        <v/>
      </c>
      <c r="IJ479" s="1805" t="str">
        <f t="shared" si="223"/>
        <v/>
      </c>
      <c r="IK479" s="1805" t="str">
        <f t="shared" si="224"/>
        <v/>
      </c>
      <c r="IL479" s="1805" t="str">
        <f t="shared" si="225"/>
        <v/>
      </c>
      <c r="IM479" s="1805" t="str">
        <f t="shared" si="226"/>
        <v/>
      </c>
      <c r="IN479" s="1805" t="str">
        <f t="shared" si="227"/>
        <v/>
      </c>
      <c r="IO479" s="1805" t="str">
        <f t="shared" si="228"/>
        <v/>
      </c>
      <c r="IP479" s="1805" t="str">
        <f t="shared" si="229"/>
        <v/>
      </c>
      <c r="IQ479" s="1805" t="str">
        <f t="shared" si="230"/>
        <v/>
      </c>
      <c r="IR479" s="1805" t="str">
        <f t="shared" si="231"/>
        <v/>
      </c>
      <c r="IS479" s="1805" t="str">
        <f t="shared" si="232"/>
        <v/>
      </c>
      <c r="IT479" s="1805" t="str">
        <f t="shared" si="233"/>
        <v/>
      </c>
      <c r="IU479" s="1805" t="str">
        <f t="shared" si="234"/>
        <v/>
      </c>
      <c r="IV479" s="1805" t="str">
        <f t="shared" si="235"/>
        <v/>
      </c>
      <c r="IW479" s="1805" t="str">
        <f t="shared" si="236"/>
        <v/>
      </c>
      <c r="IX479" s="1805" t="str">
        <f t="shared" si="237"/>
        <v/>
      </c>
      <c r="IY479" s="1805" t="str">
        <f t="shared" si="238"/>
        <v/>
      </c>
      <c r="IZ479" s="1805" t="str">
        <f t="shared" si="239"/>
        <v/>
      </c>
      <c r="JA479" s="1805" t="str">
        <f t="shared" si="240"/>
        <v/>
      </c>
      <c r="JB479" s="1805" t="str">
        <f t="shared" si="241"/>
        <v/>
      </c>
      <c r="JC479" s="1805" t="str">
        <f t="shared" si="242"/>
        <v/>
      </c>
      <c r="JD479" s="1805" t="str">
        <f t="shared" si="243"/>
        <v/>
      </c>
      <c r="JE479" s="1805" t="str">
        <f t="shared" si="244"/>
        <v/>
      </c>
      <c r="JF479" s="1805" t="str">
        <f t="shared" si="245"/>
        <v/>
      </c>
      <c r="JG479" s="1805" t="str">
        <f t="shared" si="246"/>
        <v/>
      </c>
      <c r="JH479" s="1805" t="str">
        <f t="shared" si="247"/>
        <v/>
      </c>
      <c r="JI479" s="1805" t="str">
        <f t="shared" si="248"/>
        <v/>
      </c>
      <c r="JJ479" s="1805" t="str">
        <f t="shared" si="249"/>
        <v/>
      </c>
      <c r="JK479" s="1805" t="str">
        <f t="shared" si="250"/>
        <v/>
      </c>
      <c r="JL479" s="1805" t="str">
        <f t="shared" si="251"/>
        <v/>
      </c>
      <c r="JM479" s="1805" t="str">
        <f t="shared" si="252"/>
        <v/>
      </c>
      <c r="JN479" s="1805" t="str">
        <f t="shared" si="253"/>
        <v/>
      </c>
      <c r="JO479" s="1805" t="str">
        <f t="shared" si="254"/>
        <v/>
      </c>
      <c r="JP479" s="1805" t="str">
        <f t="shared" si="255"/>
        <v/>
      </c>
      <c r="JQ479" s="1805" t="str">
        <f t="shared" si="256"/>
        <v/>
      </c>
      <c r="JR479" s="1805" t="str">
        <f t="shared" si="257"/>
        <v/>
      </c>
      <c r="JS479" s="1805" t="str">
        <f t="shared" si="258"/>
        <v/>
      </c>
      <c r="JT479" s="1805" t="str">
        <f t="shared" si="259"/>
        <v/>
      </c>
      <c r="JU479" s="1805" t="str">
        <f t="shared" si="260"/>
        <v/>
      </c>
      <c r="JV479" s="1805" t="str">
        <f t="shared" si="261"/>
        <v/>
      </c>
      <c r="JW479" s="1805" t="str">
        <f t="shared" si="262"/>
        <v/>
      </c>
      <c r="JX479" s="1805" t="str">
        <f t="shared" si="263"/>
        <v/>
      </c>
      <c r="JY479" s="1805" t="str">
        <f t="shared" si="264"/>
        <v/>
      </c>
      <c r="JZ479" s="1805" t="str">
        <f t="shared" si="265"/>
        <v/>
      </c>
      <c r="KA479" s="1805" t="str">
        <f t="shared" si="266"/>
        <v/>
      </c>
      <c r="KB479" s="1805" t="str">
        <f t="shared" si="267"/>
        <v/>
      </c>
      <c r="KC479" s="1805" t="str">
        <f t="shared" si="268"/>
        <v/>
      </c>
      <c r="KD479" s="1805" t="str">
        <f t="shared" si="269"/>
        <v/>
      </c>
      <c r="KE479" s="1805" t="str">
        <f t="shared" si="270"/>
        <v/>
      </c>
      <c r="KF479" s="1805" t="str">
        <f t="shared" si="271"/>
        <v/>
      </c>
      <c r="KG479" s="1805" t="str">
        <f t="shared" si="272"/>
        <v/>
      </c>
      <c r="KH479" s="1805" t="str">
        <f t="shared" si="273"/>
        <v/>
      </c>
      <c r="KI479" s="1805" t="str">
        <f t="shared" si="274"/>
        <v/>
      </c>
      <c r="KJ479" s="1805" t="str">
        <f t="shared" si="275"/>
        <v/>
      </c>
      <c r="KK479" s="1805" t="str">
        <f t="shared" si="276"/>
        <v/>
      </c>
      <c r="KL479" s="1805" t="str">
        <f t="shared" si="277"/>
        <v/>
      </c>
      <c r="KM479" s="1805" t="str">
        <f t="shared" si="278"/>
        <v/>
      </c>
      <c r="KN479" s="1805" t="str">
        <f t="shared" si="279"/>
        <v/>
      </c>
      <c r="KO479" s="1805" t="str">
        <f t="shared" si="280"/>
        <v/>
      </c>
      <c r="KP479" s="1805" t="str">
        <f t="shared" si="281"/>
        <v/>
      </c>
      <c r="KQ479" s="1805" t="str">
        <f t="shared" si="282"/>
        <v/>
      </c>
      <c r="KR479" s="1805" t="str">
        <f t="shared" si="283"/>
        <v/>
      </c>
      <c r="KS479" s="1805" t="str">
        <f t="shared" si="284"/>
        <v/>
      </c>
      <c r="KT479" s="1805" t="str">
        <f t="shared" si="285"/>
        <v/>
      </c>
      <c r="KU479" s="1805" t="str">
        <f t="shared" si="286"/>
        <v/>
      </c>
      <c r="KV479" s="1805" t="str">
        <f t="shared" si="287"/>
        <v/>
      </c>
      <c r="KW479" s="1805" t="str">
        <f t="shared" si="288"/>
        <v/>
      </c>
      <c r="KX479" s="1805" t="str">
        <f t="shared" si="289"/>
        <v/>
      </c>
      <c r="KY479" s="1805" t="str">
        <f t="shared" si="290"/>
        <v/>
      </c>
      <c r="KZ479" s="1805" t="str">
        <f t="shared" si="291"/>
        <v/>
      </c>
      <c r="LA479" s="1805" t="str">
        <f t="shared" si="292"/>
        <v/>
      </c>
      <c r="LB479" s="1805" t="str">
        <f t="shared" si="293"/>
        <v/>
      </c>
      <c r="LC479" s="1805" t="str">
        <f t="shared" si="294"/>
        <v/>
      </c>
      <c r="LD479" s="1805" t="str">
        <f t="shared" si="295"/>
        <v/>
      </c>
      <c r="LE479" s="1805" t="str">
        <f t="shared" si="296"/>
        <v/>
      </c>
      <c r="LF479" s="1805" t="str">
        <f t="shared" si="297"/>
        <v/>
      </c>
      <c r="LG479" s="1794" t="str">
        <f t="shared" si="298"/>
        <v/>
      </c>
      <c r="LH479" s="1794" t="str">
        <f t="shared" si="299"/>
        <v/>
      </c>
      <c r="LI479" s="1794" t="str">
        <f t="shared" si="300"/>
        <v/>
      </c>
      <c r="LJ479" s="1794" t="str">
        <f t="shared" si="301"/>
        <v/>
      </c>
      <c r="LK479" s="1794"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7">
        <f t="shared" si="323"/>
        <v>0</v>
      </c>
      <c r="MG479" s="1657">
        <f t="shared" si="324"/>
        <v>0</v>
      </c>
      <c r="MH479" s="1657">
        <f t="shared" si="325"/>
        <v>0</v>
      </c>
      <c r="MI479" s="1657">
        <f t="shared" si="326"/>
        <v>0</v>
      </c>
      <c r="MJ479" s="1657">
        <f t="shared" si="327"/>
        <v>0</v>
      </c>
      <c r="MK479" s="1657">
        <f t="shared" si="333"/>
        <v>0</v>
      </c>
      <c r="ML479" s="1657">
        <f t="shared" si="334"/>
        <v>0</v>
      </c>
      <c r="MM479" s="1657">
        <f t="shared" si="335"/>
        <v>0</v>
      </c>
      <c r="MN479" s="1657">
        <f t="shared" si="336"/>
        <v>0</v>
      </c>
      <c r="MO479" s="1657">
        <f t="shared" si="337"/>
        <v>0</v>
      </c>
      <c r="MP479" s="1657">
        <f t="shared" si="328"/>
        <v>0</v>
      </c>
      <c r="MQ479" s="1657">
        <f t="shared" si="329"/>
        <v>0</v>
      </c>
      <c r="MR479" s="1657">
        <f t="shared" si="330"/>
        <v>0</v>
      </c>
      <c r="MS479" s="1657">
        <f t="shared" si="331"/>
        <v>0</v>
      </c>
      <c r="MT479" s="1657">
        <f t="shared" si="332"/>
        <v>0</v>
      </c>
      <c r="NP479" s="356" t="s">
        <v>4334</v>
      </c>
    </row>
    <row r="480" spans="1:380" ht="13.9" customHeight="1">
      <c r="A480" s="2645" t="str">
        <f t="shared" si="0"/>
        <v/>
      </c>
      <c r="B480" s="2664">
        <f>'Part V-Revenues &amp; Expenses'!B42</f>
        <v>0</v>
      </c>
      <c r="C480" s="2665">
        <f>'Part V-Revenues &amp; Expenses'!C42</f>
        <v>0</v>
      </c>
      <c r="D480" s="2666">
        <f>'Part V-Revenues &amp; Expenses'!D42</f>
        <v>0</v>
      </c>
      <c r="E480" s="2667">
        <f>'Part V-Revenues &amp; Expenses'!E42</f>
        <v>0</v>
      </c>
      <c r="F480" s="2667">
        <f>'Part V-Revenues &amp; Expenses'!F42</f>
        <v>0</v>
      </c>
      <c r="G480" s="2667">
        <f>'Part V-Revenues &amp; Expenses'!G42</f>
        <v>0</v>
      </c>
      <c r="H480" s="2667">
        <f>'Part V-Revenues &amp; Expenses'!H42</f>
        <v>0</v>
      </c>
      <c r="I480" s="2667">
        <f>'Part V-Revenues &amp; Expenses'!I42</f>
        <v>0</v>
      </c>
      <c r="J480" s="2667">
        <f>'Part V-Revenues &amp; Expenses'!J42</f>
        <v>0</v>
      </c>
      <c r="K480" s="2668">
        <f>'Part V-Revenues &amp; Expenses'!K42</f>
        <v>0</v>
      </c>
      <c r="L480" s="2669">
        <f t="shared" si="1"/>
        <v>0</v>
      </c>
      <c r="M480" s="2669">
        <f t="shared" si="2"/>
        <v>0</v>
      </c>
      <c r="N480" s="2538">
        <f>'Part V-Revenues &amp; Expenses'!N42</f>
        <v>0</v>
      </c>
      <c r="O480" s="1257">
        <f>'Part V-Revenues &amp; Expenses'!O42</f>
        <v>0</v>
      </c>
      <c r="P480" s="2538">
        <f>'Part V-Revenues &amp; Expenses'!P42</f>
        <v>0</v>
      </c>
      <c r="Q480" s="1804">
        <f>'Part V-Revenues &amp; Expenses'!Q42</f>
        <v>0</v>
      </c>
      <c r="R480" s="2670"/>
      <c r="S480" s="2671"/>
      <c r="T480" s="2672"/>
      <c r="U480" s="2672"/>
      <c r="V480" s="2672"/>
      <c r="W480" s="2672"/>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5" t="str">
        <f t="shared" si="213"/>
        <v/>
      </c>
      <c r="IA480" s="1805" t="str">
        <f t="shared" si="214"/>
        <v/>
      </c>
      <c r="IB480" s="1805" t="str">
        <f t="shared" si="215"/>
        <v/>
      </c>
      <c r="IC480" s="1805" t="str">
        <f t="shared" si="216"/>
        <v/>
      </c>
      <c r="ID480" s="1805" t="str">
        <f t="shared" si="217"/>
        <v/>
      </c>
      <c r="IE480" s="1805" t="str">
        <f t="shared" si="218"/>
        <v/>
      </c>
      <c r="IF480" s="1805" t="str">
        <f t="shared" si="219"/>
        <v/>
      </c>
      <c r="IG480" s="1805" t="str">
        <f t="shared" si="220"/>
        <v/>
      </c>
      <c r="IH480" s="1805" t="str">
        <f t="shared" si="221"/>
        <v/>
      </c>
      <c r="II480" s="1805" t="str">
        <f t="shared" si="222"/>
        <v/>
      </c>
      <c r="IJ480" s="1805" t="str">
        <f t="shared" si="223"/>
        <v/>
      </c>
      <c r="IK480" s="1805" t="str">
        <f t="shared" si="224"/>
        <v/>
      </c>
      <c r="IL480" s="1805" t="str">
        <f t="shared" si="225"/>
        <v/>
      </c>
      <c r="IM480" s="1805" t="str">
        <f t="shared" si="226"/>
        <v/>
      </c>
      <c r="IN480" s="1805" t="str">
        <f t="shared" si="227"/>
        <v/>
      </c>
      <c r="IO480" s="1805" t="str">
        <f t="shared" si="228"/>
        <v/>
      </c>
      <c r="IP480" s="1805" t="str">
        <f t="shared" si="229"/>
        <v/>
      </c>
      <c r="IQ480" s="1805" t="str">
        <f t="shared" si="230"/>
        <v/>
      </c>
      <c r="IR480" s="1805" t="str">
        <f t="shared" si="231"/>
        <v/>
      </c>
      <c r="IS480" s="1805" t="str">
        <f t="shared" si="232"/>
        <v/>
      </c>
      <c r="IT480" s="1805" t="str">
        <f t="shared" si="233"/>
        <v/>
      </c>
      <c r="IU480" s="1805" t="str">
        <f t="shared" si="234"/>
        <v/>
      </c>
      <c r="IV480" s="1805" t="str">
        <f t="shared" si="235"/>
        <v/>
      </c>
      <c r="IW480" s="1805" t="str">
        <f t="shared" si="236"/>
        <v/>
      </c>
      <c r="IX480" s="1805" t="str">
        <f t="shared" si="237"/>
        <v/>
      </c>
      <c r="IY480" s="1805" t="str">
        <f t="shared" si="238"/>
        <v/>
      </c>
      <c r="IZ480" s="1805" t="str">
        <f t="shared" si="239"/>
        <v/>
      </c>
      <c r="JA480" s="1805" t="str">
        <f t="shared" si="240"/>
        <v/>
      </c>
      <c r="JB480" s="1805" t="str">
        <f t="shared" si="241"/>
        <v/>
      </c>
      <c r="JC480" s="1805" t="str">
        <f t="shared" si="242"/>
        <v/>
      </c>
      <c r="JD480" s="1805" t="str">
        <f t="shared" si="243"/>
        <v/>
      </c>
      <c r="JE480" s="1805" t="str">
        <f t="shared" si="244"/>
        <v/>
      </c>
      <c r="JF480" s="1805" t="str">
        <f t="shared" si="245"/>
        <v/>
      </c>
      <c r="JG480" s="1805" t="str">
        <f t="shared" si="246"/>
        <v/>
      </c>
      <c r="JH480" s="1805" t="str">
        <f t="shared" si="247"/>
        <v/>
      </c>
      <c r="JI480" s="1805" t="str">
        <f t="shared" si="248"/>
        <v/>
      </c>
      <c r="JJ480" s="1805" t="str">
        <f t="shared" si="249"/>
        <v/>
      </c>
      <c r="JK480" s="1805" t="str">
        <f t="shared" si="250"/>
        <v/>
      </c>
      <c r="JL480" s="1805" t="str">
        <f t="shared" si="251"/>
        <v/>
      </c>
      <c r="JM480" s="1805" t="str">
        <f t="shared" si="252"/>
        <v/>
      </c>
      <c r="JN480" s="1805" t="str">
        <f t="shared" si="253"/>
        <v/>
      </c>
      <c r="JO480" s="1805" t="str">
        <f t="shared" si="254"/>
        <v/>
      </c>
      <c r="JP480" s="1805" t="str">
        <f t="shared" si="255"/>
        <v/>
      </c>
      <c r="JQ480" s="1805" t="str">
        <f t="shared" si="256"/>
        <v/>
      </c>
      <c r="JR480" s="1805" t="str">
        <f t="shared" si="257"/>
        <v/>
      </c>
      <c r="JS480" s="1805" t="str">
        <f t="shared" si="258"/>
        <v/>
      </c>
      <c r="JT480" s="1805" t="str">
        <f t="shared" si="259"/>
        <v/>
      </c>
      <c r="JU480" s="1805" t="str">
        <f t="shared" si="260"/>
        <v/>
      </c>
      <c r="JV480" s="1805" t="str">
        <f t="shared" si="261"/>
        <v/>
      </c>
      <c r="JW480" s="1805" t="str">
        <f t="shared" si="262"/>
        <v/>
      </c>
      <c r="JX480" s="1805" t="str">
        <f t="shared" si="263"/>
        <v/>
      </c>
      <c r="JY480" s="1805" t="str">
        <f t="shared" si="264"/>
        <v/>
      </c>
      <c r="JZ480" s="1805" t="str">
        <f t="shared" si="265"/>
        <v/>
      </c>
      <c r="KA480" s="1805" t="str">
        <f t="shared" si="266"/>
        <v/>
      </c>
      <c r="KB480" s="1805" t="str">
        <f t="shared" si="267"/>
        <v/>
      </c>
      <c r="KC480" s="1805" t="str">
        <f t="shared" si="268"/>
        <v/>
      </c>
      <c r="KD480" s="1805" t="str">
        <f t="shared" si="269"/>
        <v/>
      </c>
      <c r="KE480" s="1805" t="str">
        <f t="shared" si="270"/>
        <v/>
      </c>
      <c r="KF480" s="1805" t="str">
        <f t="shared" si="271"/>
        <v/>
      </c>
      <c r="KG480" s="1805" t="str">
        <f t="shared" si="272"/>
        <v/>
      </c>
      <c r="KH480" s="1805" t="str">
        <f t="shared" si="273"/>
        <v/>
      </c>
      <c r="KI480" s="1805" t="str">
        <f t="shared" si="274"/>
        <v/>
      </c>
      <c r="KJ480" s="1805" t="str">
        <f t="shared" si="275"/>
        <v/>
      </c>
      <c r="KK480" s="1805" t="str">
        <f t="shared" si="276"/>
        <v/>
      </c>
      <c r="KL480" s="1805" t="str">
        <f t="shared" si="277"/>
        <v/>
      </c>
      <c r="KM480" s="1805" t="str">
        <f t="shared" si="278"/>
        <v/>
      </c>
      <c r="KN480" s="1805" t="str">
        <f t="shared" si="279"/>
        <v/>
      </c>
      <c r="KO480" s="1805" t="str">
        <f t="shared" si="280"/>
        <v/>
      </c>
      <c r="KP480" s="1805" t="str">
        <f t="shared" si="281"/>
        <v/>
      </c>
      <c r="KQ480" s="1805" t="str">
        <f t="shared" si="282"/>
        <v/>
      </c>
      <c r="KR480" s="1805" t="str">
        <f t="shared" si="283"/>
        <v/>
      </c>
      <c r="KS480" s="1805" t="str">
        <f t="shared" si="284"/>
        <v/>
      </c>
      <c r="KT480" s="1805" t="str">
        <f t="shared" si="285"/>
        <v/>
      </c>
      <c r="KU480" s="1805" t="str">
        <f t="shared" si="286"/>
        <v/>
      </c>
      <c r="KV480" s="1805" t="str">
        <f t="shared" si="287"/>
        <v/>
      </c>
      <c r="KW480" s="1805" t="str">
        <f t="shared" si="288"/>
        <v/>
      </c>
      <c r="KX480" s="1805" t="str">
        <f t="shared" si="289"/>
        <v/>
      </c>
      <c r="KY480" s="1805" t="str">
        <f t="shared" si="290"/>
        <v/>
      </c>
      <c r="KZ480" s="1805" t="str">
        <f t="shared" si="291"/>
        <v/>
      </c>
      <c r="LA480" s="1805" t="str">
        <f t="shared" si="292"/>
        <v/>
      </c>
      <c r="LB480" s="1805" t="str">
        <f t="shared" si="293"/>
        <v/>
      </c>
      <c r="LC480" s="1805" t="str">
        <f t="shared" si="294"/>
        <v/>
      </c>
      <c r="LD480" s="1805" t="str">
        <f t="shared" si="295"/>
        <v/>
      </c>
      <c r="LE480" s="1805" t="str">
        <f t="shared" si="296"/>
        <v/>
      </c>
      <c r="LF480" s="1805" t="str">
        <f t="shared" si="297"/>
        <v/>
      </c>
      <c r="LG480" s="1794" t="str">
        <f t="shared" si="298"/>
        <v/>
      </c>
      <c r="LH480" s="1794" t="str">
        <f t="shared" si="299"/>
        <v/>
      </c>
      <c r="LI480" s="1794" t="str">
        <f t="shared" si="300"/>
        <v/>
      </c>
      <c r="LJ480" s="1794" t="str">
        <f t="shared" si="301"/>
        <v/>
      </c>
      <c r="LK480" s="1794"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7">
        <f t="shared" si="323"/>
        <v>0</v>
      </c>
      <c r="MG480" s="1657">
        <f t="shared" si="324"/>
        <v>0</v>
      </c>
      <c r="MH480" s="1657">
        <f t="shared" si="325"/>
        <v>0</v>
      </c>
      <c r="MI480" s="1657">
        <f t="shared" si="326"/>
        <v>0</v>
      </c>
      <c r="MJ480" s="1657">
        <f t="shared" si="327"/>
        <v>0</v>
      </c>
      <c r="MK480" s="1657">
        <f t="shared" si="333"/>
        <v>0</v>
      </c>
      <c r="ML480" s="1657">
        <f t="shared" si="334"/>
        <v>0</v>
      </c>
      <c r="MM480" s="1657">
        <f t="shared" si="335"/>
        <v>0</v>
      </c>
      <c r="MN480" s="1657">
        <f t="shared" si="336"/>
        <v>0</v>
      </c>
      <c r="MO480" s="1657">
        <f t="shared" si="337"/>
        <v>0</v>
      </c>
      <c r="MP480" s="1657">
        <f t="shared" si="328"/>
        <v>0</v>
      </c>
      <c r="MQ480" s="1657">
        <f t="shared" si="329"/>
        <v>0</v>
      </c>
      <c r="MR480" s="1657">
        <f t="shared" si="330"/>
        <v>0</v>
      </c>
      <c r="MS480" s="1657">
        <f t="shared" si="331"/>
        <v>0</v>
      </c>
      <c r="MT480" s="1657">
        <f t="shared" si="332"/>
        <v>0</v>
      </c>
      <c r="NP480" s="356" t="s">
        <v>4335</v>
      </c>
    </row>
    <row r="481" spans="1:380" ht="13.9" customHeight="1">
      <c r="A481" s="2645" t="str">
        <f t="shared" si="0"/>
        <v/>
      </c>
      <c r="B481" s="2664">
        <f>'Part V-Revenues &amp; Expenses'!B43</f>
        <v>0</v>
      </c>
      <c r="C481" s="2665">
        <f>'Part V-Revenues &amp; Expenses'!C43</f>
        <v>0</v>
      </c>
      <c r="D481" s="2666">
        <f>'Part V-Revenues &amp; Expenses'!D43</f>
        <v>0</v>
      </c>
      <c r="E481" s="2667">
        <f>'Part V-Revenues &amp; Expenses'!E43</f>
        <v>0</v>
      </c>
      <c r="F481" s="2667">
        <f>'Part V-Revenues &amp; Expenses'!F43</f>
        <v>0</v>
      </c>
      <c r="G481" s="2667">
        <f>'Part V-Revenues &amp; Expenses'!G43</f>
        <v>0</v>
      </c>
      <c r="H481" s="2667">
        <f>'Part V-Revenues &amp; Expenses'!H43</f>
        <v>0</v>
      </c>
      <c r="I481" s="2667">
        <f>'Part V-Revenues &amp; Expenses'!I43</f>
        <v>0</v>
      </c>
      <c r="J481" s="2667">
        <f>'Part V-Revenues &amp; Expenses'!J43</f>
        <v>0</v>
      </c>
      <c r="K481" s="2668">
        <f>'Part V-Revenues &amp; Expenses'!K43</f>
        <v>0</v>
      </c>
      <c r="L481" s="2669">
        <f t="shared" si="1"/>
        <v>0</v>
      </c>
      <c r="M481" s="2669">
        <f t="shared" si="2"/>
        <v>0</v>
      </c>
      <c r="N481" s="2538">
        <f>'Part V-Revenues &amp; Expenses'!N43</f>
        <v>0</v>
      </c>
      <c r="O481" s="1257">
        <f>'Part V-Revenues &amp; Expenses'!O43</f>
        <v>0</v>
      </c>
      <c r="P481" s="2538">
        <f>'Part V-Revenues &amp; Expenses'!P43</f>
        <v>0</v>
      </c>
      <c r="Q481" s="1804">
        <f>'Part V-Revenues &amp; Expenses'!Q43</f>
        <v>0</v>
      </c>
      <c r="R481" s="2670"/>
      <c r="S481" s="2671"/>
      <c r="T481" s="2672"/>
      <c r="U481" s="2672"/>
      <c r="V481" s="2672"/>
      <c r="W481" s="2672"/>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5" t="str">
        <f t="shared" si="213"/>
        <v/>
      </c>
      <c r="IA481" s="1805" t="str">
        <f t="shared" si="214"/>
        <v/>
      </c>
      <c r="IB481" s="1805" t="str">
        <f t="shared" si="215"/>
        <v/>
      </c>
      <c r="IC481" s="1805" t="str">
        <f t="shared" si="216"/>
        <v/>
      </c>
      <c r="ID481" s="1805" t="str">
        <f t="shared" si="217"/>
        <v/>
      </c>
      <c r="IE481" s="1805" t="str">
        <f t="shared" si="218"/>
        <v/>
      </c>
      <c r="IF481" s="1805" t="str">
        <f t="shared" si="219"/>
        <v/>
      </c>
      <c r="IG481" s="1805" t="str">
        <f t="shared" si="220"/>
        <v/>
      </c>
      <c r="IH481" s="1805" t="str">
        <f t="shared" si="221"/>
        <v/>
      </c>
      <c r="II481" s="1805" t="str">
        <f t="shared" si="222"/>
        <v/>
      </c>
      <c r="IJ481" s="1805" t="str">
        <f t="shared" si="223"/>
        <v/>
      </c>
      <c r="IK481" s="1805" t="str">
        <f t="shared" si="224"/>
        <v/>
      </c>
      <c r="IL481" s="1805" t="str">
        <f t="shared" si="225"/>
        <v/>
      </c>
      <c r="IM481" s="1805" t="str">
        <f t="shared" si="226"/>
        <v/>
      </c>
      <c r="IN481" s="1805" t="str">
        <f t="shared" si="227"/>
        <v/>
      </c>
      <c r="IO481" s="1805" t="str">
        <f t="shared" si="228"/>
        <v/>
      </c>
      <c r="IP481" s="1805" t="str">
        <f t="shared" si="229"/>
        <v/>
      </c>
      <c r="IQ481" s="1805" t="str">
        <f t="shared" si="230"/>
        <v/>
      </c>
      <c r="IR481" s="1805" t="str">
        <f t="shared" si="231"/>
        <v/>
      </c>
      <c r="IS481" s="1805" t="str">
        <f t="shared" si="232"/>
        <v/>
      </c>
      <c r="IT481" s="1805" t="str">
        <f t="shared" si="233"/>
        <v/>
      </c>
      <c r="IU481" s="1805" t="str">
        <f t="shared" si="234"/>
        <v/>
      </c>
      <c r="IV481" s="1805" t="str">
        <f t="shared" si="235"/>
        <v/>
      </c>
      <c r="IW481" s="1805" t="str">
        <f t="shared" si="236"/>
        <v/>
      </c>
      <c r="IX481" s="1805" t="str">
        <f t="shared" si="237"/>
        <v/>
      </c>
      <c r="IY481" s="1805" t="str">
        <f t="shared" si="238"/>
        <v/>
      </c>
      <c r="IZ481" s="1805" t="str">
        <f t="shared" si="239"/>
        <v/>
      </c>
      <c r="JA481" s="1805" t="str">
        <f t="shared" si="240"/>
        <v/>
      </c>
      <c r="JB481" s="1805" t="str">
        <f t="shared" si="241"/>
        <v/>
      </c>
      <c r="JC481" s="1805" t="str">
        <f t="shared" si="242"/>
        <v/>
      </c>
      <c r="JD481" s="1805" t="str">
        <f t="shared" si="243"/>
        <v/>
      </c>
      <c r="JE481" s="1805" t="str">
        <f t="shared" si="244"/>
        <v/>
      </c>
      <c r="JF481" s="1805" t="str">
        <f t="shared" si="245"/>
        <v/>
      </c>
      <c r="JG481" s="1805" t="str">
        <f t="shared" si="246"/>
        <v/>
      </c>
      <c r="JH481" s="1805" t="str">
        <f t="shared" si="247"/>
        <v/>
      </c>
      <c r="JI481" s="1805" t="str">
        <f t="shared" si="248"/>
        <v/>
      </c>
      <c r="JJ481" s="1805" t="str">
        <f t="shared" si="249"/>
        <v/>
      </c>
      <c r="JK481" s="1805" t="str">
        <f t="shared" si="250"/>
        <v/>
      </c>
      <c r="JL481" s="1805" t="str">
        <f t="shared" si="251"/>
        <v/>
      </c>
      <c r="JM481" s="1805" t="str">
        <f t="shared" si="252"/>
        <v/>
      </c>
      <c r="JN481" s="1805" t="str">
        <f t="shared" si="253"/>
        <v/>
      </c>
      <c r="JO481" s="1805" t="str">
        <f t="shared" si="254"/>
        <v/>
      </c>
      <c r="JP481" s="1805" t="str">
        <f t="shared" si="255"/>
        <v/>
      </c>
      <c r="JQ481" s="1805" t="str">
        <f t="shared" si="256"/>
        <v/>
      </c>
      <c r="JR481" s="1805" t="str">
        <f t="shared" si="257"/>
        <v/>
      </c>
      <c r="JS481" s="1805" t="str">
        <f t="shared" si="258"/>
        <v/>
      </c>
      <c r="JT481" s="1805" t="str">
        <f t="shared" si="259"/>
        <v/>
      </c>
      <c r="JU481" s="1805" t="str">
        <f t="shared" si="260"/>
        <v/>
      </c>
      <c r="JV481" s="1805" t="str">
        <f t="shared" si="261"/>
        <v/>
      </c>
      <c r="JW481" s="1805" t="str">
        <f t="shared" si="262"/>
        <v/>
      </c>
      <c r="JX481" s="1805" t="str">
        <f t="shared" si="263"/>
        <v/>
      </c>
      <c r="JY481" s="1805" t="str">
        <f t="shared" si="264"/>
        <v/>
      </c>
      <c r="JZ481" s="1805" t="str">
        <f t="shared" si="265"/>
        <v/>
      </c>
      <c r="KA481" s="1805" t="str">
        <f t="shared" si="266"/>
        <v/>
      </c>
      <c r="KB481" s="1805" t="str">
        <f t="shared" si="267"/>
        <v/>
      </c>
      <c r="KC481" s="1805" t="str">
        <f t="shared" si="268"/>
        <v/>
      </c>
      <c r="KD481" s="1805" t="str">
        <f t="shared" si="269"/>
        <v/>
      </c>
      <c r="KE481" s="1805" t="str">
        <f t="shared" si="270"/>
        <v/>
      </c>
      <c r="KF481" s="1805" t="str">
        <f t="shared" si="271"/>
        <v/>
      </c>
      <c r="KG481" s="1805" t="str">
        <f t="shared" si="272"/>
        <v/>
      </c>
      <c r="KH481" s="1805" t="str">
        <f t="shared" si="273"/>
        <v/>
      </c>
      <c r="KI481" s="1805" t="str">
        <f t="shared" si="274"/>
        <v/>
      </c>
      <c r="KJ481" s="1805" t="str">
        <f t="shared" si="275"/>
        <v/>
      </c>
      <c r="KK481" s="1805" t="str">
        <f t="shared" si="276"/>
        <v/>
      </c>
      <c r="KL481" s="1805" t="str">
        <f t="shared" si="277"/>
        <v/>
      </c>
      <c r="KM481" s="1805" t="str">
        <f t="shared" si="278"/>
        <v/>
      </c>
      <c r="KN481" s="1805" t="str">
        <f t="shared" si="279"/>
        <v/>
      </c>
      <c r="KO481" s="1805" t="str">
        <f t="shared" si="280"/>
        <v/>
      </c>
      <c r="KP481" s="1805" t="str">
        <f t="shared" si="281"/>
        <v/>
      </c>
      <c r="KQ481" s="1805" t="str">
        <f t="shared" si="282"/>
        <v/>
      </c>
      <c r="KR481" s="1805" t="str">
        <f t="shared" si="283"/>
        <v/>
      </c>
      <c r="KS481" s="1805" t="str">
        <f t="shared" si="284"/>
        <v/>
      </c>
      <c r="KT481" s="1805" t="str">
        <f t="shared" si="285"/>
        <v/>
      </c>
      <c r="KU481" s="1805" t="str">
        <f t="shared" si="286"/>
        <v/>
      </c>
      <c r="KV481" s="1805" t="str">
        <f t="shared" si="287"/>
        <v/>
      </c>
      <c r="KW481" s="1805" t="str">
        <f t="shared" si="288"/>
        <v/>
      </c>
      <c r="KX481" s="1805" t="str">
        <f t="shared" si="289"/>
        <v/>
      </c>
      <c r="KY481" s="1805" t="str">
        <f t="shared" si="290"/>
        <v/>
      </c>
      <c r="KZ481" s="1805" t="str">
        <f t="shared" si="291"/>
        <v/>
      </c>
      <c r="LA481" s="1805" t="str">
        <f t="shared" si="292"/>
        <v/>
      </c>
      <c r="LB481" s="1805" t="str">
        <f t="shared" si="293"/>
        <v/>
      </c>
      <c r="LC481" s="1805" t="str">
        <f t="shared" si="294"/>
        <v/>
      </c>
      <c r="LD481" s="1805" t="str">
        <f t="shared" si="295"/>
        <v/>
      </c>
      <c r="LE481" s="1805" t="str">
        <f t="shared" si="296"/>
        <v/>
      </c>
      <c r="LF481" s="1805" t="str">
        <f t="shared" si="297"/>
        <v/>
      </c>
      <c r="LG481" s="1794" t="str">
        <f t="shared" si="298"/>
        <v/>
      </c>
      <c r="LH481" s="1794" t="str">
        <f t="shared" si="299"/>
        <v/>
      </c>
      <c r="LI481" s="1794" t="str">
        <f t="shared" si="300"/>
        <v/>
      </c>
      <c r="LJ481" s="1794" t="str">
        <f t="shared" si="301"/>
        <v/>
      </c>
      <c r="LK481" s="1794"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7">
        <f t="shared" si="323"/>
        <v>0</v>
      </c>
      <c r="MG481" s="1657">
        <f t="shared" si="324"/>
        <v>0</v>
      </c>
      <c r="MH481" s="1657">
        <f t="shared" si="325"/>
        <v>0</v>
      </c>
      <c r="MI481" s="1657">
        <f t="shared" si="326"/>
        <v>0</v>
      </c>
      <c r="MJ481" s="1657">
        <f t="shared" si="327"/>
        <v>0</v>
      </c>
      <c r="MK481" s="1657">
        <f t="shared" si="333"/>
        <v>0</v>
      </c>
      <c r="ML481" s="1657">
        <f t="shared" si="334"/>
        <v>0</v>
      </c>
      <c r="MM481" s="1657">
        <f t="shared" si="335"/>
        <v>0</v>
      </c>
      <c r="MN481" s="1657">
        <f t="shared" si="336"/>
        <v>0</v>
      </c>
      <c r="MO481" s="1657">
        <f t="shared" si="337"/>
        <v>0</v>
      </c>
      <c r="MP481" s="1657">
        <f t="shared" si="328"/>
        <v>0</v>
      </c>
      <c r="MQ481" s="1657">
        <f t="shared" si="329"/>
        <v>0</v>
      </c>
      <c r="MR481" s="1657">
        <f t="shared" si="330"/>
        <v>0</v>
      </c>
      <c r="MS481" s="1657">
        <f t="shared" si="331"/>
        <v>0</v>
      </c>
      <c r="MT481" s="1657">
        <f t="shared" si="332"/>
        <v>0</v>
      </c>
      <c r="NP481" s="356" t="s">
        <v>4336</v>
      </c>
    </row>
    <row r="482" spans="1:380" ht="13.9" customHeight="1">
      <c r="A482" s="2645" t="str">
        <f t="shared" si="0"/>
        <v/>
      </c>
      <c r="B482" s="2664">
        <f>'Part V-Revenues &amp; Expenses'!B44</f>
        <v>0</v>
      </c>
      <c r="C482" s="2665">
        <f>'Part V-Revenues &amp; Expenses'!C44</f>
        <v>0</v>
      </c>
      <c r="D482" s="2666">
        <f>'Part V-Revenues &amp; Expenses'!D44</f>
        <v>0</v>
      </c>
      <c r="E482" s="2667">
        <f>'Part V-Revenues &amp; Expenses'!E44</f>
        <v>0</v>
      </c>
      <c r="F482" s="2667">
        <f>'Part V-Revenues &amp; Expenses'!F44</f>
        <v>0</v>
      </c>
      <c r="G482" s="2667">
        <f>'Part V-Revenues &amp; Expenses'!G44</f>
        <v>0</v>
      </c>
      <c r="H482" s="2667">
        <f>'Part V-Revenues &amp; Expenses'!H44</f>
        <v>0</v>
      </c>
      <c r="I482" s="2667">
        <f>'Part V-Revenues &amp; Expenses'!I44</f>
        <v>0</v>
      </c>
      <c r="J482" s="2667">
        <f>'Part V-Revenues &amp; Expenses'!J44</f>
        <v>0</v>
      </c>
      <c r="K482" s="2668">
        <f>'Part V-Revenues &amp; Expenses'!K44</f>
        <v>0</v>
      </c>
      <c r="L482" s="2669">
        <f t="shared" si="1"/>
        <v>0</v>
      </c>
      <c r="M482" s="2669">
        <f t="shared" si="2"/>
        <v>0</v>
      </c>
      <c r="N482" s="2538">
        <f>'Part V-Revenues &amp; Expenses'!N44</f>
        <v>0</v>
      </c>
      <c r="O482" s="1257">
        <f>'Part V-Revenues &amp; Expenses'!O44</f>
        <v>0</v>
      </c>
      <c r="P482" s="2538">
        <f>'Part V-Revenues &amp; Expenses'!P44</f>
        <v>0</v>
      </c>
      <c r="Q482" s="1804">
        <f>'Part V-Revenues &amp; Expenses'!Q44</f>
        <v>0</v>
      </c>
      <c r="R482" s="2670"/>
      <c r="S482" s="2671"/>
      <c r="T482" s="2672"/>
      <c r="U482" s="2672"/>
      <c r="V482" s="2672"/>
      <c r="W482" s="2672"/>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5" t="str">
        <f t="shared" si="213"/>
        <v/>
      </c>
      <c r="IA482" s="1805" t="str">
        <f t="shared" si="214"/>
        <v/>
      </c>
      <c r="IB482" s="1805" t="str">
        <f t="shared" si="215"/>
        <v/>
      </c>
      <c r="IC482" s="1805" t="str">
        <f t="shared" si="216"/>
        <v/>
      </c>
      <c r="ID482" s="1805" t="str">
        <f t="shared" si="217"/>
        <v/>
      </c>
      <c r="IE482" s="1805" t="str">
        <f t="shared" si="218"/>
        <v/>
      </c>
      <c r="IF482" s="1805" t="str">
        <f t="shared" si="219"/>
        <v/>
      </c>
      <c r="IG482" s="1805" t="str">
        <f t="shared" si="220"/>
        <v/>
      </c>
      <c r="IH482" s="1805" t="str">
        <f t="shared" si="221"/>
        <v/>
      </c>
      <c r="II482" s="1805" t="str">
        <f t="shared" si="222"/>
        <v/>
      </c>
      <c r="IJ482" s="1805" t="str">
        <f t="shared" si="223"/>
        <v/>
      </c>
      <c r="IK482" s="1805" t="str">
        <f t="shared" si="224"/>
        <v/>
      </c>
      <c r="IL482" s="1805" t="str">
        <f t="shared" si="225"/>
        <v/>
      </c>
      <c r="IM482" s="1805" t="str">
        <f t="shared" si="226"/>
        <v/>
      </c>
      <c r="IN482" s="1805" t="str">
        <f t="shared" si="227"/>
        <v/>
      </c>
      <c r="IO482" s="1805" t="str">
        <f t="shared" si="228"/>
        <v/>
      </c>
      <c r="IP482" s="1805" t="str">
        <f t="shared" si="229"/>
        <v/>
      </c>
      <c r="IQ482" s="1805" t="str">
        <f t="shared" si="230"/>
        <v/>
      </c>
      <c r="IR482" s="1805" t="str">
        <f t="shared" si="231"/>
        <v/>
      </c>
      <c r="IS482" s="1805" t="str">
        <f t="shared" si="232"/>
        <v/>
      </c>
      <c r="IT482" s="1805" t="str">
        <f t="shared" si="233"/>
        <v/>
      </c>
      <c r="IU482" s="1805" t="str">
        <f t="shared" si="234"/>
        <v/>
      </c>
      <c r="IV482" s="1805" t="str">
        <f t="shared" si="235"/>
        <v/>
      </c>
      <c r="IW482" s="1805" t="str">
        <f t="shared" si="236"/>
        <v/>
      </c>
      <c r="IX482" s="1805" t="str">
        <f t="shared" si="237"/>
        <v/>
      </c>
      <c r="IY482" s="1805" t="str">
        <f t="shared" si="238"/>
        <v/>
      </c>
      <c r="IZ482" s="1805" t="str">
        <f t="shared" si="239"/>
        <v/>
      </c>
      <c r="JA482" s="1805" t="str">
        <f t="shared" si="240"/>
        <v/>
      </c>
      <c r="JB482" s="1805" t="str">
        <f t="shared" si="241"/>
        <v/>
      </c>
      <c r="JC482" s="1805" t="str">
        <f t="shared" si="242"/>
        <v/>
      </c>
      <c r="JD482" s="1805" t="str">
        <f t="shared" si="243"/>
        <v/>
      </c>
      <c r="JE482" s="1805" t="str">
        <f t="shared" si="244"/>
        <v/>
      </c>
      <c r="JF482" s="1805" t="str">
        <f t="shared" si="245"/>
        <v/>
      </c>
      <c r="JG482" s="1805" t="str">
        <f t="shared" si="246"/>
        <v/>
      </c>
      <c r="JH482" s="1805" t="str">
        <f t="shared" si="247"/>
        <v/>
      </c>
      <c r="JI482" s="1805" t="str">
        <f t="shared" si="248"/>
        <v/>
      </c>
      <c r="JJ482" s="1805" t="str">
        <f t="shared" si="249"/>
        <v/>
      </c>
      <c r="JK482" s="1805" t="str">
        <f t="shared" si="250"/>
        <v/>
      </c>
      <c r="JL482" s="1805" t="str">
        <f t="shared" si="251"/>
        <v/>
      </c>
      <c r="JM482" s="1805" t="str">
        <f t="shared" si="252"/>
        <v/>
      </c>
      <c r="JN482" s="1805" t="str">
        <f t="shared" si="253"/>
        <v/>
      </c>
      <c r="JO482" s="1805" t="str">
        <f t="shared" si="254"/>
        <v/>
      </c>
      <c r="JP482" s="1805" t="str">
        <f t="shared" si="255"/>
        <v/>
      </c>
      <c r="JQ482" s="1805" t="str">
        <f t="shared" si="256"/>
        <v/>
      </c>
      <c r="JR482" s="1805" t="str">
        <f t="shared" si="257"/>
        <v/>
      </c>
      <c r="JS482" s="1805" t="str">
        <f t="shared" si="258"/>
        <v/>
      </c>
      <c r="JT482" s="1805" t="str">
        <f t="shared" si="259"/>
        <v/>
      </c>
      <c r="JU482" s="1805" t="str">
        <f t="shared" si="260"/>
        <v/>
      </c>
      <c r="JV482" s="1805" t="str">
        <f t="shared" si="261"/>
        <v/>
      </c>
      <c r="JW482" s="1805" t="str">
        <f t="shared" si="262"/>
        <v/>
      </c>
      <c r="JX482" s="1805" t="str">
        <f t="shared" si="263"/>
        <v/>
      </c>
      <c r="JY482" s="1805" t="str">
        <f t="shared" si="264"/>
        <v/>
      </c>
      <c r="JZ482" s="1805" t="str">
        <f t="shared" si="265"/>
        <v/>
      </c>
      <c r="KA482" s="1805" t="str">
        <f t="shared" si="266"/>
        <v/>
      </c>
      <c r="KB482" s="1805" t="str">
        <f t="shared" si="267"/>
        <v/>
      </c>
      <c r="KC482" s="1805" t="str">
        <f t="shared" si="268"/>
        <v/>
      </c>
      <c r="KD482" s="1805" t="str">
        <f t="shared" si="269"/>
        <v/>
      </c>
      <c r="KE482" s="1805" t="str">
        <f t="shared" si="270"/>
        <v/>
      </c>
      <c r="KF482" s="1805" t="str">
        <f t="shared" si="271"/>
        <v/>
      </c>
      <c r="KG482" s="1805" t="str">
        <f t="shared" si="272"/>
        <v/>
      </c>
      <c r="KH482" s="1805" t="str">
        <f t="shared" si="273"/>
        <v/>
      </c>
      <c r="KI482" s="1805" t="str">
        <f t="shared" si="274"/>
        <v/>
      </c>
      <c r="KJ482" s="1805" t="str">
        <f t="shared" si="275"/>
        <v/>
      </c>
      <c r="KK482" s="1805" t="str">
        <f t="shared" si="276"/>
        <v/>
      </c>
      <c r="KL482" s="1805" t="str">
        <f t="shared" si="277"/>
        <v/>
      </c>
      <c r="KM482" s="1805" t="str">
        <f t="shared" si="278"/>
        <v/>
      </c>
      <c r="KN482" s="1805" t="str">
        <f t="shared" si="279"/>
        <v/>
      </c>
      <c r="KO482" s="1805" t="str">
        <f t="shared" si="280"/>
        <v/>
      </c>
      <c r="KP482" s="1805" t="str">
        <f t="shared" si="281"/>
        <v/>
      </c>
      <c r="KQ482" s="1805" t="str">
        <f t="shared" si="282"/>
        <v/>
      </c>
      <c r="KR482" s="1805" t="str">
        <f t="shared" si="283"/>
        <v/>
      </c>
      <c r="KS482" s="1805" t="str">
        <f t="shared" si="284"/>
        <v/>
      </c>
      <c r="KT482" s="1805" t="str">
        <f t="shared" si="285"/>
        <v/>
      </c>
      <c r="KU482" s="1805" t="str">
        <f t="shared" si="286"/>
        <v/>
      </c>
      <c r="KV482" s="1805" t="str">
        <f t="shared" si="287"/>
        <v/>
      </c>
      <c r="KW482" s="1805" t="str">
        <f t="shared" si="288"/>
        <v/>
      </c>
      <c r="KX482" s="1805" t="str">
        <f t="shared" si="289"/>
        <v/>
      </c>
      <c r="KY482" s="1805" t="str">
        <f t="shared" si="290"/>
        <v/>
      </c>
      <c r="KZ482" s="1805" t="str">
        <f t="shared" si="291"/>
        <v/>
      </c>
      <c r="LA482" s="1805" t="str">
        <f t="shared" si="292"/>
        <v/>
      </c>
      <c r="LB482" s="1805" t="str">
        <f t="shared" si="293"/>
        <v/>
      </c>
      <c r="LC482" s="1805" t="str">
        <f t="shared" si="294"/>
        <v/>
      </c>
      <c r="LD482" s="1805" t="str">
        <f t="shared" si="295"/>
        <v/>
      </c>
      <c r="LE482" s="1805" t="str">
        <f t="shared" si="296"/>
        <v/>
      </c>
      <c r="LF482" s="1805" t="str">
        <f t="shared" si="297"/>
        <v/>
      </c>
      <c r="LG482" s="1794" t="str">
        <f t="shared" si="298"/>
        <v/>
      </c>
      <c r="LH482" s="1794" t="str">
        <f t="shared" si="299"/>
        <v/>
      </c>
      <c r="LI482" s="1794" t="str">
        <f t="shared" si="300"/>
        <v/>
      </c>
      <c r="LJ482" s="1794" t="str">
        <f t="shared" si="301"/>
        <v/>
      </c>
      <c r="LK482" s="1794"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7">
        <f t="shared" si="323"/>
        <v>0</v>
      </c>
      <c r="MG482" s="1657">
        <f t="shared" si="324"/>
        <v>0</v>
      </c>
      <c r="MH482" s="1657">
        <f t="shared" si="325"/>
        <v>0</v>
      </c>
      <c r="MI482" s="1657">
        <f t="shared" si="326"/>
        <v>0</v>
      </c>
      <c r="MJ482" s="1657">
        <f t="shared" si="327"/>
        <v>0</v>
      </c>
      <c r="MK482" s="1657">
        <f t="shared" si="333"/>
        <v>0</v>
      </c>
      <c r="ML482" s="1657">
        <f t="shared" si="334"/>
        <v>0</v>
      </c>
      <c r="MM482" s="1657">
        <f t="shared" si="335"/>
        <v>0</v>
      </c>
      <c r="MN482" s="1657">
        <f t="shared" si="336"/>
        <v>0</v>
      </c>
      <c r="MO482" s="1657">
        <f t="shared" si="337"/>
        <v>0</v>
      </c>
      <c r="MP482" s="1657">
        <f t="shared" si="328"/>
        <v>0</v>
      </c>
      <c r="MQ482" s="1657">
        <f t="shared" si="329"/>
        <v>0</v>
      </c>
      <c r="MR482" s="1657">
        <f t="shared" si="330"/>
        <v>0</v>
      </c>
      <c r="MS482" s="1657">
        <f t="shared" si="331"/>
        <v>0</v>
      </c>
      <c r="MT482" s="1657">
        <f t="shared" si="332"/>
        <v>0</v>
      </c>
      <c r="NP482" s="356" t="s">
        <v>4337</v>
      </c>
    </row>
    <row r="483" spans="1:380" ht="13.9" customHeight="1">
      <c r="A483" s="2645" t="str">
        <f t="shared" si="0"/>
        <v/>
      </c>
      <c r="B483" s="2664">
        <f>'Part V-Revenues &amp; Expenses'!B45</f>
        <v>0</v>
      </c>
      <c r="C483" s="2665">
        <f>'Part V-Revenues &amp; Expenses'!C45</f>
        <v>0</v>
      </c>
      <c r="D483" s="2666">
        <f>'Part V-Revenues &amp; Expenses'!D45</f>
        <v>0</v>
      </c>
      <c r="E483" s="2667">
        <f>'Part V-Revenues &amp; Expenses'!E45</f>
        <v>0</v>
      </c>
      <c r="F483" s="2667">
        <f>'Part V-Revenues &amp; Expenses'!F45</f>
        <v>0</v>
      </c>
      <c r="G483" s="2667">
        <f>'Part V-Revenues &amp; Expenses'!G45</f>
        <v>0</v>
      </c>
      <c r="H483" s="2667">
        <f>'Part V-Revenues &amp; Expenses'!H45</f>
        <v>0</v>
      </c>
      <c r="I483" s="2667">
        <f>'Part V-Revenues &amp; Expenses'!I45</f>
        <v>0</v>
      </c>
      <c r="J483" s="2667">
        <f>'Part V-Revenues &amp; Expenses'!J45</f>
        <v>0</v>
      </c>
      <c r="K483" s="2668">
        <f>'Part V-Revenues &amp; Expenses'!K45</f>
        <v>0</v>
      </c>
      <c r="L483" s="2669">
        <f t="shared" si="1"/>
        <v>0</v>
      </c>
      <c r="M483" s="2669">
        <f t="shared" si="2"/>
        <v>0</v>
      </c>
      <c r="N483" s="2538">
        <f>'Part V-Revenues &amp; Expenses'!N45</f>
        <v>0</v>
      </c>
      <c r="O483" s="1257">
        <f>'Part V-Revenues &amp; Expenses'!O45</f>
        <v>0</v>
      </c>
      <c r="P483" s="2538">
        <f>'Part V-Revenues &amp; Expenses'!P45</f>
        <v>0</v>
      </c>
      <c r="Q483" s="1804">
        <f>'Part V-Revenues &amp; Expenses'!Q45</f>
        <v>0</v>
      </c>
      <c r="R483" s="2670"/>
      <c r="S483" s="2671"/>
      <c r="T483" s="2672"/>
      <c r="U483" s="2672"/>
      <c r="V483" s="2672"/>
      <c r="W483" s="2672"/>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5" t="str">
        <f t="shared" si="213"/>
        <v/>
      </c>
      <c r="IA483" s="1805" t="str">
        <f t="shared" si="214"/>
        <v/>
      </c>
      <c r="IB483" s="1805" t="str">
        <f t="shared" si="215"/>
        <v/>
      </c>
      <c r="IC483" s="1805" t="str">
        <f t="shared" si="216"/>
        <v/>
      </c>
      <c r="ID483" s="1805" t="str">
        <f t="shared" si="217"/>
        <v/>
      </c>
      <c r="IE483" s="1805" t="str">
        <f t="shared" si="218"/>
        <v/>
      </c>
      <c r="IF483" s="1805" t="str">
        <f t="shared" si="219"/>
        <v/>
      </c>
      <c r="IG483" s="1805" t="str">
        <f t="shared" si="220"/>
        <v/>
      </c>
      <c r="IH483" s="1805" t="str">
        <f t="shared" si="221"/>
        <v/>
      </c>
      <c r="II483" s="1805" t="str">
        <f t="shared" si="222"/>
        <v/>
      </c>
      <c r="IJ483" s="1805" t="str">
        <f t="shared" si="223"/>
        <v/>
      </c>
      <c r="IK483" s="1805" t="str">
        <f t="shared" si="224"/>
        <v/>
      </c>
      <c r="IL483" s="1805" t="str">
        <f t="shared" si="225"/>
        <v/>
      </c>
      <c r="IM483" s="1805" t="str">
        <f t="shared" si="226"/>
        <v/>
      </c>
      <c r="IN483" s="1805" t="str">
        <f t="shared" si="227"/>
        <v/>
      </c>
      <c r="IO483" s="1805" t="str">
        <f t="shared" si="228"/>
        <v/>
      </c>
      <c r="IP483" s="1805" t="str">
        <f t="shared" si="229"/>
        <v/>
      </c>
      <c r="IQ483" s="1805" t="str">
        <f t="shared" si="230"/>
        <v/>
      </c>
      <c r="IR483" s="1805" t="str">
        <f t="shared" si="231"/>
        <v/>
      </c>
      <c r="IS483" s="1805" t="str">
        <f t="shared" si="232"/>
        <v/>
      </c>
      <c r="IT483" s="1805" t="str">
        <f t="shared" si="233"/>
        <v/>
      </c>
      <c r="IU483" s="1805" t="str">
        <f t="shared" si="234"/>
        <v/>
      </c>
      <c r="IV483" s="1805" t="str">
        <f t="shared" si="235"/>
        <v/>
      </c>
      <c r="IW483" s="1805" t="str">
        <f t="shared" si="236"/>
        <v/>
      </c>
      <c r="IX483" s="1805" t="str">
        <f t="shared" si="237"/>
        <v/>
      </c>
      <c r="IY483" s="1805" t="str">
        <f t="shared" si="238"/>
        <v/>
      </c>
      <c r="IZ483" s="1805" t="str">
        <f t="shared" si="239"/>
        <v/>
      </c>
      <c r="JA483" s="1805" t="str">
        <f t="shared" si="240"/>
        <v/>
      </c>
      <c r="JB483" s="1805" t="str">
        <f t="shared" si="241"/>
        <v/>
      </c>
      <c r="JC483" s="1805" t="str">
        <f t="shared" si="242"/>
        <v/>
      </c>
      <c r="JD483" s="1805" t="str">
        <f t="shared" si="243"/>
        <v/>
      </c>
      <c r="JE483" s="1805" t="str">
        <f t="shared" si="244"/>
        <v/>
      </c>
      <c r="JF483" s="1805" t="str">
        <f t="shared" si="245"/>
        <v/>
      </c>
      <c r="JG483" s="1805" t="str">
        <f t="shared" si="246"/>
        <v/>
      </c>
      <c r="JH483" s="1805" t="str">
        <f t="shared" si="247"/>
        <v/>
      </c>
      <c r="JI483" s="1805" t="str">
        <f t="shared" si="248"/>
        <v/>
      </c>
      <c r="JJ483" s="1805" t="str">
        <f t="shared" si="249"/>
        <v/>
      </c>
      <c r="JK483" s="1805" t="str">
        <f t="shared" si="250"/>
        <v/>
      </c>
      <c r="JL483" s="1805" t="str">
        <f t="shared" si="251"/>
        <v/>
      </c>
      <c r="JM483" s="1805" t="str">
        <f t="shared" si="252"/>
        <v/>
      </c>
      <c r="JN483" s="1805" t="str">
        <f t="shared" si="253"/>
        <v/>
      </c>
      <c r="JO483" s="1805" t="str">
        <f t="shared" si="254"/>
        <v/>
      </c>
      <c r="JP483" s="1805" t="str">
        <f t="shared" si="255"/>
        <v/>
      </c>
      <c r="JQ483" s="1805" t="str">
        <f t="shared" si="256"/>
        <v/>
      </c>
      <c r="JR483" s="1805" t="str">
        <f t="shared" si="257"/>
        <v/>
      </c>
      <c r="JS483" s="1805" t="str">
        <f t="shared" si="258"/>
        <v/>
      </c>
      <c r="JT483" s="1805" t="str">
        <f t="shared" si="259"/>
        <v/>
      </c>
      <c r="JU483" s="1805" t="str">
        <f t="shared" si="260"/>
        <v/>
      </c>
      <c r="JV483" s="1805" t="str">
        <f t="shared" si="261"/>
        <v/>
      </c>
      <c r="JW483" s="1805" t="str">
        <f t="shared" si="262"/>
        <v/>
      </c>
      <c r="JX483" s="1805" t="str">
        <f t="shared" si="263"/>
        <v/>
      </c>
      <c r="JY483" s="1805" t="str">
        <f t="shared" si="264"/>
        <v/>
      </c>
      <c r="JZ483" s="1805" t="str">
        <f t="shared" si="265"/>
        <v/>
      </c>
      <c r="KA483" s="1805" t="str">
        <f t="shared" si="266"/>
        <v/>
      </c>
      <c r="KB483" s="1805" t="str">
        <f t="shared" si="267"/>
        <v/>
      </c>
      <c r="KC483" s="1805" t="str">
        <f t="shared" si="268"/>
        <v/>
      </c>
      <c r="KD483" s="1805" t="str">
        <f t="shared" si="269"/>
        <v/>
      </c>
      <c r="KE483" s="1805" t="str">
        <f t="shared" si="270"/>
        <v/>
      </c>
      <c r="KF483" s="1805" t="str">
        <f t="shared" si="271"/>
        <v/>
      </c>
      <c r="KG483" s="1805" t="str">
        <f t="shared" si="272"/>
        <v/>
      </c>
      <c r="KH483" s="1805" t="str">
        <f t="shared" si="273"/>
        <v/>
      </c>
      <c r="KI483" s="1805" t="str">
        <f t="shared" si="274"/>
        <v/>
      </c>
      <c r="KJ483" s="1805" t="str">
        <f t="shared" si="275"/>
        <v/>
      </c>
      <c r="KK483" s="1805" t="str">
        <f t="shared" si="276"/>
        <v/>
      </c>
      <c r="KL483" s="1805" t="str">
        <f t="shared" si="277"/>
        <v/>
      </c>
      <c r="KM483" s="1805" t="str">
        <f t="shared" si="278"/>
        <v/>
      </c>
      <c r="KN483" s="1805" t="str">
        <f t="shared" si="279"/>
        <v/>
      </c>
      <c r="KO483" s="1805" t="str">
        <f t="shared" si="280"/>
        <v/>
      </c>
      <c r="KP483" s="1805" t="str">
        <f t="shared" si="281"/>
        <v/>
      </c>
      <c r="KQ483" s="1805" t="str">
        <f t="shared" si="282"/>
        <v/>
      </c>
      <c r="KR483" s="1805" t="str">
        <f t="shared" si="283"/>
        <v/>
      </c>
      <c r="KS483" s="1805" t="str">
        <f t="shared" si="284"/>
        <v/>
      </c>
      <c r="KT483" s="1805" t="str">
        <f t="shared" si="285"/>
        <v/>
      </c>
      <c r="KU483" s="1805" t="str">
        <f t="shared" si="286"/>
        <v/>
      </c>
      <c r="KV483" s="1805" t="str">
        <f t="shared" si="287"/>
        <v/>
      </c>
      <c r="KW483" s="1805" t="str">
        <f t="shared" si="288"/>
        <v/>
      </c>
      <c r="KX483" s="1805" t="str">
        <f t="shared" si="289"/>
        <v/>
      </c>
      <c r="KY483" s="1805" t="str">
        <f t="shared" si="290"/>
        <v/>
      </c>
      <c r="KZ483" s="1805" t="str">
        <f t="shared" si="291"/>
        <v/>
      </c>
      <c r="LA483" s="1805" t="str">
        <f t="shared" si="292"/>
        <v/>
      </c>
      <c r="LB483" s="1805" t="str">
        <f t="shared" si="293"/>
        <v/>
      </c>
      <c r="LC483" s="1805" t="str">
        <f t="shared" si="294"/>
        <v/>
      </c>
      <c r="LD483" s="1805" t="str">
        <f t="shared" si="295"/>
        <v/>
      </c>
      <c r="LE483" s="1805" t="str">
        <f t="shared" si="296"/>
        <v/>
      </c>
      <c r="LF483" s="1805" t="str">
        <f t="shared" si="297"/>
        <v/>
      </c>
      <c r="LG483" s="1794" t="str">
        <f t="shared" si="298"/>
        <v/>
      </c>
      <c r="LH483" s="1794" t="str">
        <f t="shared" si="299"/>
        <v/>
      </c>
      <c r="LI483" s="1794" t="str">
        <f t="shared" si="300"/>
        <v/>
      </c>
      <c r="LJ483" s="1794" t="str">
        <f t="shared" si="301"/>
        <v/>
      </c>
      <c r="LK483" s="1794"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7">
        <f t="shared" si="323"/>
        <v>0</v>
      </c>
      <c r="MG483" s="1657">
        <f t="shared" si="324"/>
        <v>0</v>
      </c>
      <c r="MH483" s="1657">
        <f t="shared" si="325"/>
        <v>0</v>
      </c>
      <c r="MI483" s="1657">
        <f t="shared" si="326"/>
        <v>0</v>
      </c>
      <c r="MJ483" s="1657">
        <f t="shared" si="327"/>
        <v>0</v>
      </c>
      <c r="MK483" s="1657">
        <f t="shared" si="333"/>
        <v>0</v>
      </c>
      <c r="ML483" s="1657">
        <f t="shared" si="334"/>
        <v>0</v>
      </c>
      <c r="MM483" s="1657">
        <f t="shared" si="335"/>
        <v>0</v>
      </c>
      <c r="MN483" s="1657">
        <f t="shared" si="336"/>
        <v>0</v>
      </c>
      <c r="MO483" s="1657">
        <f t="shared" si="337"/>
        <v>0</v>
      </c>
      <c r="MP483" s="1657">
        <f t="shared" si="328"/>
        <v>0</v>
      </c>
      <c r="MQ483" s="1657">
        <f t="shared" si="329"/>
        <v>0</v>
      </c>
      <c r="MR483" s="1657">
        <f t="shared" si="330"/>
        <v>0</v>
      </c>
      <c r="MS483" s="1657">
        <f t="shared" si="331"/>
        <v>0</v>
      </c>
      <c r="MT483" s="1657">
        <f t="shared" si="332"/>
        <v>0</v>
      </c>
      <c r="NP483" s="356" t="s">
        <v>4338</v>
      </c>
    </row>
    <row r="484" spans="1:380" ht="13.9" customHeight="1">
      <c r="A484" s="2645" t="str">
        <f t="shared" si="0"/>
        <v/>
      </c>
      <c r="B484" s="2664">
        <f>'Part V-Revenues &amp; Expenses'!B46</f>
        <v>0</v>
      </c>
      <c r="C484" s="2665">
        <f>'Part V-Revenues &amp; Expenses'!C46</f>
        <v>0</v>
      </c>
      <c r="D484" s="2666">
        <f>'Part V-Revenues &amp; Expenses'!D46</f>
        <v>0</v>
      </c>
      <c r="E484" s="2667">
        <f>'Part V-Revenues &amp; Expenses'!E46</f>
        <v>0</v>
      </c>
      <c r="F484" s="2667">
        <f>'Part V-Revenues &amp; Expenses'!F46</f>
        <v>0</v>
      </c>
      <c r="G484" s="2667">
        <f>'Part V-Revenues &amp; Expenses'!G46</f>
        <v>0</v>
      </c>
      <c r="H484" s="2667">
        <f>'Part V-Revenues &amp; Expenses'!H46</f>
        <v>0</v>
      </c>
      <c r="I484" s="2667">
        <f>'Part V-Revenues &amp; Expenses'!I46</f>
        <v>0</v>
      </c>
      <c r="J484" s="2667">
        <f>'Part V-Revenues &amp; Expenses'!J46</f>
        <v>0</v>
      </c>
      <c r="K484" s="2668">
        <f>'Part V-Revenues &amp; Expenses'!K46</f>
        <v>0</v>
      </c>
      <c r="L484" s="2669">
        <f t="shared" si="1"/>
        <v>0</v>
      </c>
      <c r="M484" s="2669">
        <f t="shared" si="2"/>
        <v>0</v>
      </c>
      <c r="N484" s="2538">
        <f>'Part V-Revenues &amp; Expenses'!N46</f>
        <v>0</v>
      </c>
      <c r="O484" s="1257">
        <f>'Part V-Revenues &amp; Expenses'!O46</f>
        <v>0</v>
      </c>
      <c r="P484" s="2538">
        <f>'Part V-Revenues &amp; Expenses'!P46</f>
        <v>0</v>
      </c>
      <c r="Q484" s="1804">
        <f>'Part V-Revenues &amp; Expenses'!Q46</f>
        <v>0</v>
      </c>
      <c r="R484" s="2670"/>
      <c r="S484" s="2671"/>
      <c r="T484" s="2672"/>
      <c r="U484" s="2672"/>
      <c r="V484" s="2672"/>
      <c r="W484" s="2672"/>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5" t="str">
        <f t="shared" si="213"/>
        <v/>
      </c>
      <c r="IA484" s="1805" t="str">
        <f t="shared" si="214"/>
        <v/>
      </c>
      <c r="IB484" s="1805" t="str">
        <f t="shared" si="215"/>
        <v/>
      </c>
      <c r="IC484" s="1805" t="str">
        <f t="shared" si="216"/>
        <v/>
      </c>
      <c r="ID484" s="1805" t="str">
        <f t="shared" si="217"/>
        <v/>
      </c>
      <c r="IE484" s="1805" t="str">
        <f t="shared" si="218"/>
        <v/>
      </c>
      <c r="IF484" s="1805" t="str">
        <f t="shared" si="219"/>
        <v/>
      </c>
      <c r="IG484" s="1805" t="str">
        <f t="shared" si="220"/>
        <v/>
      </c>
      <c r="IH484" s="1805" t="str">
        <f t="shared" si="221"/>
        <v/>
      </c>
      <c r="II484" s="1805" t="str">
        <f t="shared" si="222"/>
        <v/>
      </c>
      <c r="IJ484" s="1805" t="str">
        <f t="shared" si="223"/>
        <v/>
      </c>
      <c r="IK484" s="1805" t="str">
        <f t="shared" si="224"/>
        <v/>
      </c>
      <c r="IL484" s="1805" t="str">
        <f t="shared" si="225"/>
        <v/>
      </c>
      <c r="IM484" s="1805" t="str">
        <f t="shared" si="226"/>
        <v/>
      </c>
      <c r="IN484" s="1805" t="str">
        <f t="shared" si="227"/>
        <v/>
      </c>
      <c r="IO484" s="1805" t="str">
        <f t="shared" si="228"/>
        <v/>
      </c>
      <c r="IP484" s="1805" t="str">
        <f t="shared" si="229"/>
        <v/>
      </c>
      <c r="IQ484" s="1805" t="str">
        <f t="shared" si="230"/>
        <v/>
      </c>
      <c r="IR484" s="1805" t="str">
        <f t="shared" si="231"/>
        <v/>
      </c>
      <c r="IS484" s="1805" t="str">
        <f t="shared" si="232"/>
        <v/>
      </c>
      <c r="IT484" s="1805" t="str">
        <f t="shared" si="233"/>
        <v/>
      </c>
      <c r="IU484" s="1805" t="str">
        <f t="shared" si="234"/>
        <v/>
      </c>
      <c r="IV484" s="1805" t="str">
        <f t="shared" si="235"/>
        <v/>
      </c>
      <c r="IW484" s="1805" t="str">
        <f t="shared" si="236"/>
        <v/>
      </c>
      <c r="IX484" s="1805" t="str">
        <f t="shared" si="237"/>
        <v/>
      </c>
      <c r="IY484" s="1805" t="str">
        <f t="shared" si="238"/>
        <v/>
      </c>
      <c r="IZ484" s="1805" t="str">
        <f t="shared" si="239"/>
        <v/>
      </c>
      <c r="JA484" s="1805" t="str">
        <f t="shared" si="240"/>
        <v/>
      </c>
      <c r="JB484" s="1805" t="str">
        <f t="shared" si="241"/>
        <v/>
      </c>
      <c r="JC484" s="1805" t="str">
        <f t="shared" si="242"/>
        <v/>
      </c>
      <c r="JD484" s="1805" t="str">
        <f t="shared" si="243"/>
        <v/>
      </c>
      <c r="JE484" s="1805" t="str">
        <f t="shared" si="244"/>
        <v/>
      </c>
      <c r="JF484" s="1805" t="str">
        <f t="shared" si="245"/>
        <v/>
      </c>
      <c r="JG484" s="1805" t="str">
        <f t="shared" si="246"/>
        <v/>
      </c>
      <c r="JH484" s="1805" t="str">
        <f t="shared" si="247"/>
        <v/>
      </c>
      <c r="JI484" s="1805" t="str">
        <f t="shared" si="248"/>
        <v/>
      </c>
      <c r="JJ484" s="1805" t="str">
        <f t="shared" si="249"/>
        <v/>
      </c>
      <c r="JK484" s="1805" t="str">
        <f t="shared" si="250"/>
        <v/>
      </c>
      <c r="JL484" s="1805" t="str">
        <f t="shared" si="251"/>
        <v/>
      </c>
      <c r="JM484" s="1805" t="str">
        <f t="shared" si="252"/>
        <v/>
      </c>
      <c r="JN484" s="1805" t="str">
        <f t="shared" si="253"/>
        <v/>
      </c>
      <c r="JO484" s="1805" t="str">
        <f t="shared" si="254"/>
        <v/>
      </c>
      <c r="JP484" s="1805" t="str">
        <f t="shared" si="255"/>
        <v/>
      </c>
      <c r="JQ484" s="1805" t="str">
        <f t="shared" si="256"/>
        <v/>
      </c>
      <c r="JR484" s="1805" t="str">
        <f t="shared" si="257"/>
        <v/>
      </c>
      <c r="JS484" s="1805" t="str">
        <f t="shared" si="258"/>
        <v/>
      </c>
      <c r="JT484" s="1805" t="str">
        <f t="shared" si="259"/>
        <v/>
      </c>
      <c r="JU484" s="1805" t="str">
        <f t="shared" si="260"/>
        <v/>
      </c>
      <c r="JV484" s="1805" t="str">
        <f t="shared" si="261"/>
        <v/>
      </c>
      <c r="JW484" s="1805" t="str">
        <f t="shared" si="262"/>
        <v/>
      </c>
      <c r="JX484" s="1805" t="str">
        <f t="shared" si="263"/>
        <v/>
      </c>
      <c r="JY484" s="1805" t="str">
        <f t="shared" si="264"/>
        <v/>
      </c>
      <c r="JZ484" s="1805" t="str">
        <f t="shared" si="265"/>
        <v/>
      </c>
      <c r="KA484" s="1805" t="str">
        <f t="shared" si="266"/>
        <v/>
      </c>
      <c r="KB484" s="1805" t="str">
        <f t="shared" si="267"/>
        <v/>
      </c>
      <c r="KC484" s="1805" t="str">
        <f t="shared" si="268"/>
        <v/>
      </c>
      <c r="KD484" s="1805" t="str">
        <f t="shared" si="269"/>
        <v/>
      </c>
      <c r="KE484" s="1805" t="str">
        <f t="shared" si="270"/>
        <v/>
      </c>
      <c r="KF484" s="1805" t="str">
        <f t="shared" si="271"/>
        <v/>
      </c>
      <c r="KG484" s="1805" t="str">
        <f t="shared" si="272"/>
        <v/>
      </c>
      <c r="KH484" s="1805" t="str">
        <f t="shared" si="273"/>
        <v/>
      </c>
      <c r="KI484" s="1805" t="str">
        <f t="shared" si="274"/>
        <v/>
      </c>
      <c r="KJ484" s="1805" t="str">
        <f t="shared" si="275"/>
        <v/>
      </c>
      <c r="KK484" s="1805" t="str">
        <f t="shared" si="276"/>
        <v/>
      </c>
      <c r="KL484" s="1805" t="str">
        <f t="shared" si="277"/>
        <v/>
      </c>
      <c r="KM484" s="1805" t="str">
        <f t="shared" si="278"/>
        <v/>
      </c>
      <c r="KN484" s="1805" t="str">
        <f t="shared" si="279"/>
        <v/>
      </c>
      <c r="KO484" s="1805" t="str">
        <f t="shared" si="280"/>
        <v/>
      </c>
      <c r="KP484" s="1805" t="str">
        <f t="shared" si="281"/>
        <v/>
      </c>
      <c r="KQ484" s="1805" t="str">
        <f t="shared" si="282"/>
        <v/>
      </c>
      <c r="KR484" s="1805" t="str">
        <f t="shared" si="283"/>
        <v/>
      </c>
      <c r="KS484" s="1805" t="str">
        <f t="shared" si="284"/>
        <v/>
      </c>
      <c r="KT484" s="1805" t="str">
        <f t="shared" si="285"/>
        <v/>
      </c>
      <c r="KU484" s="1805" t="str">
        <f t="shared" si="286"/>
        <v/>
      </c>
      <c r="KV484" s="1805" t="str">
        <f t="shared" si="287"/>
        <v/>
      </c>
      <c r="KW484" s="1805" t="str">
        <f t="shared" si="288"/>
        <v/>
      </c>
      <c r="KX484" s="1805" t="str">
        <f t="shared" si="289"/>
        <v/>
      </c>
      <c r="KY484" s="1805" t="str">
        <f t="shared" si="290"/>
        <v/>
      </c>
      <c r="KZ484" s="1805" t="str">
        <f t="shared" si="291"/>
        <v/>
      </c>
      <c r="LA484" s="1805" t="str">
        <f t="shared" si="292"/>
        <v/>
      </c>
      <c r="LB484" s="1805" t="str">
        <f t="shared" si="293"/>
        <v/>
      </c>
      <c r="LC484" s="1805" t="str">
        <f t="shared" si="294"/>
        <v/>
      </c>
      <c r="LD484" s="1805" t="str">
        <f t="shared" si="295"/>
        <v/>
      </c>
      <c r="LE484" s="1805" t="str">
        <f t="shared" si="296"/>
        <v/>
      </c>
      <c r="LF484" s="1805" t="str">
        <f t="shared" si="297"/>
        <v/>
      </c>
      <c r="LG484" s="1794" t="str">
        <f t="shared" si="298"/>
        <v/>
      </c>
      <c r="LH484" s="1794" t="str">
        <f t="shared" si="299"/>
        <v/>
      </c>
      <c r="LI484" s="1794" t="str">
        <f t="shared" si="300"/>
        <v/>
      </c>
      <c r="LJ484" s="1794" t="str">
        <f t="shared" si="301"/>
        <v/>
      </c>
      <c r="LK484" s="1794"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7">
        <f t="shared" si="323"/>
        <v>0</v>
      </c>
      <c r="MG484" s="1657">
        <f t="shared" si="324"/>
        <v>0</v>
      </c>
      <c r="MH484" s="1657">
        <f t="shared" si="325"/>
        <v>0</v>
      </c>
      <c r="MI484" s="1657">
        <f t="shared" si="326"/>
        <v>0</v>
      </c>
      <c r="MJ484" s="1657">
        <f t="shared" si="327"/>
        <v>0</v>
      </c>
      <c r="MK484" s="1657">
        <f t="shared" si="333"/>
        <v>0</v>
      </c>
      <c r="ML484" s="1657">
        <f t="shared" si="334"/>
        <v>0</v>
      </c>
      <c r="MM484" s="1657">
        <f t="shared" si="335"/>
        <v>0</v>
      </c>
      <c r="MN484" s="1657">
        <f t="shared" si="336"/>
        <v>0</v>
      </c>
      <c r="MO484" s="1657">
        <f t="shared" si="337"/>
        <v>0</v>
      </c>
      <c r="MP484" s="1657">
        <f t="shared" si="328"/>
        <v>0</v>
      </c>
      <c r="MQ484" s="1657">
        <f t="shared" si="329"/>
        <v>0</v>
      </c>
      <c r="MR484" s="1657">
        <f t="shared" si="330"/>
        <v>0</v>
      </c>
      <c r="MS484" s="1657">
        <f t="shared" si="331"/>
        <v>0</v>
      </c>
      <c r="MT484" s="1657">
        <f t="shared" si="332"/>
        <v>0</v>
      </c>
      <c r="NP484" s="356" t="s">
        <v>4339</v>
      </c>
    </row>
    <row r="485" spans="1:380" ht="13.9" customHeight="1">
      <c r="A485" s="2645" t="str">
        <f t="shared" si="0"/>
        <v/>
      </c>
      <c r="B485" s="2664">
        <f>'Part V-Revenues &amp; Expenses'!B47</f>
        <v>0</v>
      </c>
      <c r="C485" s="2665">
        <f>'Part V-Revenues &amp; Expenses'!C47</f>
        <v>0</v>
      </c>
      <c r="D485" s="2666">
        <f>'Part V-Revenues &amp; Expenses'!D47</f>
        <v>0</v>
      </c>
      <c r="E485" s="2667">
        <f>'Part V-Revenues &amp; Expenses'!E47</f>
        <v>0</v>
      </c>
      <c r="F485" s="2667">
        <f>'Part V-Revenues &amp; Expenses'!F47</f>
        <v>0</v>
      </c>
      <c r="G485" s="2667">
        <f>'Part V-Revenues &amp; Expenses'!G47</f>
        <v>0</v>
      </c>
      <c r="H485" s="2667">
        <f>'Part V-Revenues &amp; Expenses'!H47</f>
        <v>0</v>
      </c>
      <c r="I485" s="2667">
        <f>'Part V-Revenues &amp; Expenses'!I47</f>
        <v>0</v>
      </c>
      <c r="J485" s="2667">
        <f>'Part V-Revenues &amp; Expenses'!J47</f>
        <v>0</v>
      </c>
      <c r="K485" s="2668">
        <f>'Part V-Revenues &amp; Expenses'!K47</f>
        <v>0</v>
      </c>
      <c r="L485" s="2669">
        <f t="shared" si="1"/>
        <v>0</v>
      </c>
      <c r="M485" s="2669">
        <f t="shared" si="2"/>
        <v>0</v>
      </c>
      <c r="N485" s="2538">
        <f>'Part V-Revenues &amp; Expenses'!N47</f>
        <v>0</v>
      </c>
      <c r="O485" s="1257">
        <f>'Part V-Revenues &amp; Expenses'!O47</f>
        <v>0</v>
      </c>
      <c r="P485" s="2538">
        <f>'Part V-Revenues &amp; Expenses'!P47</f>
        <v>0</v>
      </c>
      <c r="Q485" s="1804">
        <f>'Part V-Revenues &amp; Expenses'!Q47</f>
        <v>0</v>
      </c>
      <c r="R485" s="2670"/>
      <c r="S485" s="2671"/>
      <c r="T485" s="2672"/>
      <c r="U485" s="2672"/>
      <c r="V485" s="2672"/>
      <c r="W485" s="2672"/>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5" t="str">
        <f t="shared" si="213"/>
        <v/>
      </c>
      <c r="IA485" s="1805" t="str">
        <f t="shared" si="214"/>
        <v/>
      </c>
      <c r="IB485" s="1805" t="str">
        <f t="shared" si="215"/>
        <v/>
      </c>
      <c r="IC485" s="1805" t="str">
        <f t="shared" si="216"/>
        <v/>
      </c>
      <c r="ID485" s="1805" t="str">
        <f t="shared" si="217"/>
        <v/>
      </c>
      <c r="IE485" s="1805" t="str">
        <f t="shared" si="218"/>
        <v/>
      </c>
      <c r="IF485" s="1805" t="str">
        <f t="shared" si="219"/>
        <v/>
      </c>
      <c r="IG485" s="1805" t="str">
        <f t="shared" si="220"/>
        <v/>
      </c>
      <c r="IH485" s="1805" t="str">
        <f t="shared" si="221"/>
        <v/>
      </c>
      <c r="II485" s="1805" t="str">
        <f t="shared" si="222"/>
        <v/>
      </c>
      <c r="IJ485" s="1805" t="str">
        <f t="shared" si="223"/>
        <v/>
      </c>
      <c r="IK485" s="1805" t="str">
        <f t="shared" si="224"/>
        <v/>
      </c>
      <c r="IL485" s="1805" t="str">
        <f t="shared" si="225"/>
        <v/>
      </c>
      <c r="IM485" s="1805" t="str">
        <f t="shared" si="226"/>
        <v/>
      </c>
      <c r="IN485" s="1805" t="str">
        <f t="shared" si="227"/>
        <v/>
      </c>
      <c r="IO485" s="1805" t="str">
        <f t="shared" si="228"/>
        <v/>
      </c>
      <c r="IP485" s="1805" t="str">
        <f t="shared" si="229"/>
        <v/>
      </c>
      <c r="IQ485" s="1805" t="str">
        <f t="shared" si="230"/>
        <v/>
      </c>
      <c r="IR485" s="1805" t="str">
        <f t="shared" si="231"/>
        <v/>
      </c>
      <c r="IS485" s="1805" t="str">
        <f t="shared" si="232"/>
        <v/>
      </c>
      <c r="IT485" s="1805" t="str">
        <f t="shared" si="233"/>
        <v/>
      </c>
      <c r="IU485" s="1805" t="str">
        <f t="shared" si="234"/>
        <v/>
      </c>
      <c r="IV485" s="1805" t="str">
        <f t="shared" si="235"/>
        <v/>
      </c>
      <c r="IW485" s="1805" t="str">
        <f t="shared" si="236"/>
        <v/>
      </c>
      <c r="IX485" s="1805" t="str">
        <f t="shared" si="237"/>
        <v/>
      </c>
      <c r="IY485" s="1805" t="str">
        <f t="shared" si="238"/>
        <v/>
      </c>
      <c r="IZ485" s="1805" t="str">
        <f t="shared" si="239"/>
        <v/>
      </c>
      <c r="JA485" s="1805" t="str">
        <f t="shared" si="240"/>
        <v/>
      </c>
      <c r="JB485" s="1805" t="str">
        <f t="shared" si="241"/>
        <v/>
      </c>
      <c r="JC485" s="1805" t="str">
        <f t="shared" si="242"/>
        <v/>
      </c>
      <c r="JD485" s="1805" t="str">
        <f t="shared" si="243"/>
        <v/>
      </c>
      <c r="JE485" s="1805" t="str">
        <f t="shared" si="244"/>
        <v/>
      </c>
      <c r="JF485" s="1805" t="str">
        <f t="shared" si="245"/>
        <v/>
      </c>
      <c r="JG485" s="1805" t="str">
        <f t="shared" si="246"/>
        <v/>
      </c>
      <c r="JH485" s="1805" t="str">
        <f t="shared" si="247"/>
        <v/>
      </c>
      <c r="JI485" s="1805" t="str">
        <f t="shared" si="248"/>
        <v/>
      </c>
      <c r="JJ485" s="1805" t="str">
        <f t="shared" si="249"/>
        <v/>
      </c>
      <c r="JK485" s="1805" t="str">
        <f t="shared" si="250"/>
        <v/>
      </c>
      <c r="JL485" s="1805" t="str">
        <f t="shared" si="251"/>
        <v/>
      </c>
      <c r="JM485" s="1805" t="str">
        <f t="shared" si="252"/>
        <v/>
      </c>
      <c r="JN485" s="1805" t="str">
        <f t="shared" si="253"/>
        <v/>
      </c>
      <c r="JO485" s="1805" t="str">
        <f t="shared" si="254"/>
        <v/>
      </c>
      <c r="JP485" s="1805" t="str">
        <f t="shared" si="255"/>
        <v/>
      </c>
      <c r="JQ485" s="1805" t="str">
        <f t="shared" si="256"/>
        <v/>
      </c>
      <c r="JR485" s="1805" t="str">
        <f t="shared" si="257"/>
        <v/>
      </c>
      <c r="JS485" s="1805" t="str">
        <f t="shared" si="258"/>
        <v/>
      </c>
      <c r="JT485" s="1805" t="str">
        <f t="shared" si="259"/>
        <v/>
      </c>
      <c r="JU485" s="1805" t="str">
        <f t="shared" si="260"/>
        <v/>
      </c>
      <c r="JV485" s="1805" t="str">
        <f t="shared" si="261"/>
        <v/>
      </c>
      <c r="JW485" s="1805" t="str">
        <f t="shared" si="262"/>
        <v/>
      </c>
      <c r="JX485" s="1805" t="str">
        <f t="shared" si="263"/>
        <v/>
      </c>
      <c r="JY485" s="1805" t="str">
        <f t="shared" si="264"/>
        <v/>
      </c>
      <c r="JZ485" s="1805" t="str">
        <f t="shared" si="265"/>
        <v/>
      </c>
      <c r="KA485" s="1805" t="str">
        <f t="shared" si="266"/>
        <v/>
      </c>
      <c r="KB485" s="1805" t="str">
        <f t="shared" si="267"/>
        <v/>
      </c>
      <c r="KC485" s="1805" t="str">
        <f t="shared" si="268"/>
        <v/>
      </c>
      <c r="KD485" s="1805" t="str">
        <f t="shared" si="269"/>
        <v/>
      </c>
      <c r="KE485" s="1805" t="str">
        <f t="shared" si="270"/>
        <v/>
      </c>
      <c r="KF485" s="1805" t="str">
        <f t="shared" si="271"/>
        <v/>
      </c>
      <c r="KG485" s="1805" t="str">
        <f t="shared" si="272"/>
        <v/>
      </c>
      <c r="KH485" s="1805" t="str">
        <f t="shared" si="273"/>
        <v/>
      </c>
      <c r="KI485" s="1805" t="str">
        <f t="shared" si="274"/>
        <v/>
      </c>
      <c r="KJ485" s="1805" t="str">
        <f t="shared" si="275"/>
        <v/>
      </c>
      <c r="KK485" s="1805" t="str">
        <f t="shared" si="276"/>
        <v/>
      </c>
      <c r="KL485" s="1805" t="str">
        <f t="shared" si="277"/>
        <v/>
      </c>
      <c r="KM485" s="1805" t="str">
        <f t="shared" si="278"/>
        <v/>
      </c>
      <c r="KN485" s="1805" t="str">
        <f t="shared" si="279"/>
        <v/>
      </c>
      <c r="KO485" s="1805" t="str">
        <f t="shared" si="280"/>
        <v/>
      </c>
      <c r="KP485" s="1805" t="str">
        <f t="shared" si="281"/>
        <v/>
      </c>
      <c r="KQ485" s="1805" t="str">
        <f t="shared" si="282"/>
        <v/>
      </c>
      <c r="KR485" s="1805" t="str">
        <f t="shared" si="283"/>
        <v/>
      </c>
      <c r="KS485" s="1805" t="str">
        <f t="shared" si="284"/>
        <v/>
      </c>
      <c r="KT485" s="1805" t="str">
        <f t="shared" si="285"/>
        <v/>
      </c>
      <c r="KU485" s="1805" t="str">
        <f t="shared" si="286"/>
        <v/>
      </c>
      <c r="KV485" s="1805" t="str">
        <f t="shared" si="287"/>
        <v/>
      </c>
      <c r="KW485" s="1805" t="str">
        <f t="shared" si="288"/>
        <v/>
      </c>
      <c r="KX485" s="1805" t="str">
        <f t="shared" si="289"/>
        <v/>
      </c>
      <c r="KY485" s="1805" t="str">
        <f t="shared" si="290"/>
        <v/>
      </c>
      <c r="KZ485" s="1805" t="str">
        <f t="shared" si="291"/>
        <v/>
      </c>
      <c r="LA485" s="1805" t="str">
        <f t="shared" si="292"/>
        <v/>
      </c>
      <c r="LB485" s="1805" t="str">
        <f t="shared" si="293"/>
        <v/>
      </c>
      <c r="LC485" s="1805" t="str">
        <f t="shared" si="294"/>
        <v/>
      </c>
      <c r="LD485" s="1805" t="str">
        <f t="shared" si="295"/>
        <v/>
      </c>
      <c r="LE485" s="1805" t="str">
        <f t="shared" si="296"/>
        <v/>
      </c>
      <c r="LF485" s="1805" t="str">
        <f t="shared" si="297"/>
        <v/>
      </c>
      <c r="LG485" s="1794" t="str">
        <f t="shared" si="298"/>
        <v/>
      </c>
      <c r="LH485" s="1794" t="str">
        <f t="shared" si="299"/>
        <v/>
      </c>
      <c r="LI485" s="1794" t="str">
        <f t="shared" si="300"/>
        <v/>
      </c>
      <c r="LJ485" s="1794" t="str">
        <f t="shared" si="301"/>
        <v/>
      </c>
      <c r="LK485" s="1794"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7">
        <f t="shared" si="323"/>
        <v>0</v>
      </c>
      <c r="MG485" s="1657">
        <f t="shared" si="324"/>
        <v>0</v>
      </c>
      <c r="MH485" s="1657">
        <f t="shared" si="325"/>
        <v>0</v>
      </c>
      <c r="MI485" s="1657">
        <f t="shared" si="326"/>
        <v>0</v>
      </c>
      <c r="MJ485" s="1657">
        <f t="shared" si="327"/>
        <v>0</v>
      </c>
      <c r="MK485" s="1657">
        <f t="shared" si="333"/>
        <v>0</v>
      </c>
      <c r="ML485" s="1657">
        <f t="shared" si="334"/>
        <v>0</v>
      </c>
      <c r="MM485" s="1657">
        <f t="shared" si="335"/>
        <v>0</v>
      </c>
      <c r="MN485" s="1657">
        <f t="shared" si="336"/>
        <v>0</v>
      </c>
      <c r="MO485" s="1657">
        <f t="shared" si="337"/>
        <v>0</v>
      </c>
      <c r="MP485" s="1657">
        <f t="shared" si="328"/>
        <v>0</v>
      </c>
      <c r="MQ485" s="1657">
        <f t="shared" si="329"/>
        <v>0</v>
      </c>
      <c r="MR485" s="1657">
        <f t="shared" si="330"/>
        <v>0</v>
      </c>
      <c r="MS485" s="1657">
        <f t="shared" si="331"/>
        <v>0</v>
      </c>
      <c r="MT485" s="1657">
        <f t="shared" si="332"/>
        <v>0</v>
      </c>
      <c r="NP485" s="356" t="s">
        <v>4340</v>
      </c>
    </row>
    <row r="486" spans="1:380" ht="13.9" customHeight="1">
      <c r="A486" s="2645" t="str">
        <f t="shared" si="0"/>
        <v/>
      </c>
      <c r="B486" s="2664">
        <f>'Part V-Revenues &amp; Expenses'!B48</f>
        <v>0</v>
      </c>
      <c r="C486" s="2665">
        <f>'Part V-Revenues &amp; Expenses'!C48</f>
        <v>0</v>
      </c>
      <c r="D486" s="2666">
        <f>'Part V-Revenues &amp; Expenses'!D48</f>
        <v>0</v>
      </c>
      <c r="E486" s="2667">
        <f>'Part V-Revenues &amp; Expenses'!E48</f>
        <v>0</v>
      </c>
      <c r="F486" s="2667">
        <f>'Part V-Revenues &amp; Expenses'!F48</f>
        <v>0</v>
      </c>
      <c r="G486" s="2667">
        <f>'Part V-Revenues &amp; Expenses'!G48</f>
        <v>0</v>
      </c>
      <c r="H486" s="2667">
        <f>'Part V-Revenues &amp; Expenses'!H48</f>
        <v>0</v>
      </c>
      <c r="I486" s="2667">
        <f>'Part V-Revenues &amp; Expenses'!I48</f>
        <v>0</v>
      </c>
      <c r="J486" s="2667">
        <f>'Part V-Revenues &amp; Expenses'!J48</f>
        <v>0</v>
      </c>
      <c r="K486" s="2668">
        <f>'Part V-Revenues &amp; Expenses'!K48</f>
        <v>0</v>
      </c>
      <c r="L486" s="2669">
        <f t="shared" si="1"/>
        <v>0</v>
      </c>
      <c r="M486" s="2669">
        <f t="shared" si="2"/>
        <v>0</v>
      </c>
      <c r="N486" s="2538">
        <f>'Part V-Revenues &amp; Expenses'!N48</f>
        <v>0</v>
      </c>
      <c r="O486" s="1257">
        <f>'Part V-Revenues &amp; Expenses'!O48</f>
        <v>0</v>
      </c>
      <c r="P486" s="2538">
        <f>'Part V-Revenues &amp; Expenses'!P48</f>
        <v>0</v>
      </c>
      <c r="Q486" s="1804">
        <f>'Part V-Revenues &amp; Expenses'!Q48</f>
        <v>0</v>
      </c>
      <c r="R486" s="2670"/>
      <c r="S486" s="2671"/>
      <c r="T486" s="2672"/>
      <c r="U486" s="2672"/>
      <c r="V486" s="2672"/>
      <c r="W486" s="2672"/>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5" t="str">
        <f t="shared" si="213"/>
        <v/>
      </c>
      <c r="IA486" s="1805" t="str">
        <f t="shared" si="214"/>
        <v/>
      </c>
      <c r="IB486" s="1805" t="str">
        <f t="shared" si="215"/>
        <v/>
      </c>
      <c r="IC486" s="1805" t="str">
        <f t="shared" si="216"/>
        <v/>
      </c>
      <c r="ID486" s="1805" t="str">
        <f t="shared" si="217"/>
        <v/>
      </c>
      <c r="IE486" s="1805" t="str">
        <f t="shared" si="218"/>
        <v/>
      </c>
      <c r="IF486" s="1805" t="str">
        <f t="shared" si="219"/>
        <v/>
      </c>
      <c r="IG486" s="1805" t="str">
        <f t="shared" si="220"/>
        <v/>
      </c>
      <c r="IH486" s="1805" t="str">
        <f t="shared" si="221"/>
        <v/>
      </c>
      <c r="II486" s="1805" t="str">
        <f t="shared" si="222"/>
        <v/>
      </c>
      <c r="IJ486" s="1805" t="str">
        <f t="shared" si="223"/>
        <v/>
      </c>
      <c r="IK486" s="1805" t="str">
        <f t="shared" si="224"/>
        <v/>
      </c>
      <c r="IL486" s="1805" t="str">
        <f t="shared" si="225"/>
        <v/>
      </c>
      <c r="IM486" s="1805" t="str">
        <f t="shared" si="226"/>
        <v/>
      </c>
      <c r="IN486" s="1805" t="str">
        <f t="shared" si="227"/>
        <v/>
      </c>
      <c r="IO486" s="1805" t="str">
        <f t="shared" si="228"/>
        <v/>
      </c>
      <c r="IP486" s="1805" t="str">
        <f t="shared" si="229"/>
        <v/>
      </c>
      <c r="IQ486" s="1805" t="str">
        <f t="shared" si="230"/>
        <v/>
      </c>
      <c r="IR486" s="1805" t="str">
        <f t="shared" si="231"/>
        <v/>
      </c>
      <c r="IS486" s="1805" t="str">
        <f t="shared" si="232"/>
        <v/>
      </c>
      <c r="IT486" s="1805" t="str">
        <f t="shared" si="233"/>
        <v/>
      </c>
      <c r="IU486" s="1805" t="str">
        <f t="shared" si="234"/>
        <v/>
      </c>
      <c r="IV486" s="1805" t="str">
        <f t="shared" si="235"/>
        <v/>
      </c>
      <c r="IW486" s="1805" t="str">
        <f t="shared" si="236"/>
        <v/>
      </c>
      <c r="IX486" s="1805" t="str">
        <f t="shared" si="237"/>
        <v/>
      </c>
      <c r="IY486" s="1805" t="str">
        <f t="shared" si="238"/>
        <v/>
      </c>
      <c r="IZ486" s="1805" t="str">
        <f t="shared" si="239"/>
        <v/>
      </c>
      <c r="JA486" s="1805" t="str">
        <f t="shared" si="240"/>
        <v/>
      </c>
      <c r="JB486" s="1805" t="str">
        <f t="shared" si="241"/>
        <v/>
      </c>
      <c r="JC486" s="1805" t="str">
        <f t="shared" si="242"/>
        <v/>
      </c>
      <c r="JD486" s="1805" t="str">
        <f t="shared" si="243"/>
        <v/>
      </c>
      <c r="JE486" s="1805" t="str">
        <f t="shared" si="244"/>
        <v/>
      </c>
      <c r="JF486" s="1805" t="str">
        <f t="shared" si="245"/>
        <v/>
      </c>
      <c r="JG486" s="1805" t="str">
        <f t="shared" si="246"/>
        <v/>
      </c>
      <c r="JH486" s="1805" t="str">
        <f t="shared" si="247"/>
        <v/>
      </c>
      <c r="JI486" s="1805" t="str">
        <f t="shared" si="248"/>
        <v/>
      </c>
      <c r="JJ486" s="1805" t="str">
        <f t="shared" si="249"/>
        <v/>
      </c>
      <c r="JK486" s="1805" t="str">
        <f t="shared" si="250"/>
        <v/>
      </c>
      <c r="JL486" s="1805" t="str">
        <f t="shared" si="251"/>
        <v/>
      </c>
      <c r="JM486" s="1805" t="str">
        <f t="shared" si="252"/>
        <v/>
      </c>
      <c r="JN486" s="1805" t="str">
        <f t="shared" si="253"/>
        <v/>
      </c>
      <c r="JO486" s="1805" t="str">
        <f t="shared" si="254"/>
        <v/>
      </c>
      <c r="JP486" s="1805" t="str">
        <f t="shared" si="255"/>
        <v/>
      </c>
      <c r="JQ486" s="1805" t="str">
        <f t="shared" si="256"/>
        <v/>
      </c>
      <c r="JR486" s="1805" t="str">
        <f t="shared" si="257"/>
        <v/>
      </c>
      <c r="JS486" s="1805" t="str">
        <f t="shared" si="258"/>
        <v/>
      </c>
      <c r="JT486" s="1805" t="str">
        <f t="shared" si="259"/>
        <v/>
      </c>
      <c r="JU486" s="1805" t="str">
        <f t="shared" si="260"/>
        <v/>
      </c>
      <c r="JV486" s="1805" t="str">
        <f t="shared" si="261"/>
        <v/>
      </c>
      <c r="JW486" s="1805" t="str">
        <f t="shared" si="262"/>
        <v/>
      </c>
      <c r="JX486" s="1805" t="str">
        <f t="shared" si="263"/>
        <v/>
      </c>
      <c r="JY486" s="1805" t="str">
        <f t="shared" si="264"/>
        <v/>
      </c>
      <c r="JZ486" s="1805" t="str">
        <f t="shared" si="265"/>
        <v/>
      </c>
      <c r="KA486" s="1805" t="str">
        <f t="shared" si="266"/>
        <v/>
      </c>
      <c r="KB486" s="1805" t="str">
        <f t="shared" si="267"/>
        <v/>
      </c>
      <c r="KC486" s="1805" t="str">
        <f t="shared" si="268"/>
        <v/>
      </c>
      <c r="KD486" s="1805" t="str">
        <f t="shared" si="269"/>
        <v/>
      </c>
      <c r="KE486" s="1805" t="str">
        <f t="shared" si="270"/>
        <v/>
      </c>
      <c r="KF486" s="1805" t="str">
        <f t="shared" si="271"/>
        <v/>
      </c>
      <c r="KG486" s="1805" t="str">
        <f t="shared" si="272"/>
        <v/>
      </c>
      <c r="KH486" s="1805" t="str">
        <f t="shared" si="273"/>
        <v/>
      </c>
      <c r="KI486" s="1805" t="str">
        <f t="shared" si="274"/>
        <v/>
      </c>
      <c r="KJ486" s="1805" t="str">
        <f t="shared" si="275"/>
        <v/>
      </c>
      <c r="KK486" s="1805" t="str">
        <f t="shared" si="276"/>
        <v/>
      </c>
      <c r="KL486" s="1805" t="str">
        <f t="shared" si="277"/>
        <v/>
      </c>
      <c r="KM486" s="1805" t="str">
        <f t="shared" si="278"/>
        <v/>
      </c>
      <c r="KN486" s="1805" t="str">
        <f t="shared" si="279"/>
        <v/>
      </c>
      <c r="KO486" s="1805" t="str">
        <f t="shared" si="280"/>
        <v/>
      </c>
      <c r="KP486" s="1805" t="str">
        <f t="shared" si="281"/>
        <v/>
      </c>
      <c r="KQ486" s="1805" t="str">
        <f t="shared" si="282"/>
        <v/>
      </c>
      <c r="KR486" s="1805" t="str">
        <f t="shared" si="283"/>
        <v/>
      </c>
      <c r="KS486" s="1805" t="str">
        <f t="shared" si="284"/>
        <v/>
      </c>
      <c r="KT486" s="1805" t="str">
        <f t="shared" si="285"/>
        <v/>
      </c>
      <c r="KU486" s="1805" t="str">
        <f t="shared" si="286"/>
        <v/>
      </c>
      <c r="KV486" s="1805" t="str">
        <f t="shared" si="287"/>
        <v/>
      </c>
      <c r="KW486" s="1805" t="str">
        <f t="shared" si="288"/>
        <v/>
      </c>
      <c r="KX486" s="1805" t="str">
        <f t="shared" si="289"/>
        <v/>
      </c>
      <c r="KY486" s="1805" t="str">
        <f t="shared" si="290"/>
        <v/>
      </c>
      <c r="KZ486" s="1805" t="str">
        <f t="shared" si="291"/>
        <v/>
      </c>
      <c r="LA486" s="1805" t="str">
        <f t="shared" si="292"/>
        <v/>
      </c>
      <c r="LB486" s="1805" t="str">
        <f t="shared" si="293"/>
        <v/>
      </c>
      <c r="LC486" s="1805" t="str">
        <f t="shared" si="294"/>
        <v/>
      </c>
      <c r="LD486" s="1805" t="str">
        <f t="shared" si="295"/>
        <v/>
      </c>
      <c r="LE486" s="1805" t="str">
        <f t="shared" si="296"/>
        <v/>
      </c>
      <c r="LF486" s="1805" t="str">
        <f t="shared" si="297"/>
        <v/>
      </c>
      <c r="LG486" s="1794" t="str">
        <f t="shared" si="298"/>
        <v/>
      </c>
      <c r="LH486" s="1794" t="str">
        <f t="shared" si="299"/>
        <v/>
      </c>
      <c r="LI486" s="1794" t="str">
        <f t="shared" si="300"/>
        <v/>
      </c>
      <c r="LJ486" s="1794" t="str">
        <f t="shared" si="301"/>
        <v/>
      </c>
      <c r="LK486" s="1794"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7">
        <f t="shared" si="323"/>
        <v>0</v>
      </c>
      <c r="MG486" s="1657">
        <f t="shared" si="324"/>
        <v>0</v>
      </c>
      <c r="MH486" s="1657">
        <f t="shared" si="325"/>
        <v>0</v>
      </c>
      <c r="MI486" s="1657">
        <f t="shared" si="326"/>
        <v>0</v>
      </c>
      <c r="MJ486" s="1657">
        <f t="shared" si="327"/>
        <v>0</v>
      </c>
      <c r="MK486" s="1657">
        <f t="shared" si="333"/>
        <v>0</v>
      </c>
      <c r="ML486" s="1657">
        <f t="shared" si="334"/>
        <v>0</v>
      </c>
      <c r="MM486" s="1657">
        <f t="shared" si="335"/>
        <v>0</v>
      </c>
      <c r="MN486" s="1657">
        <f t="shared" si="336"/>
        <v>0</v>
      </c>
      <c r="MO486" s="1657">
        <f t="shared" si="337"/>
        <v>0</v>
      </c>
      <c r="MP486" s="1657">
        <f t="shared" si="328"/>
        <v>0</v>
      </c>
      <c r="MQ486" s="1657">
        <f t="shared" si="329"/>
        <v>0</v>
      </c>
      <c r="MR486" s="1657">
        <f t="shared" si="330"/>
        <v>0</v>
      </c>
      <c r="MS486" s="1657">
        <f t="shared" si="331"/>
        <v>0</v>
      </c>
      <c r="MT486" s="1657">
        <f t="shared" si="332"/>
        <v>0</v>
      </c>
      <c r="NP486" s="356" t="s">
        <v>4341</v>
      </c>
    </row>
    <row r="487" spans="1:380" ht="13.9" customHeight="1">
      <c r="A487" s="2645">
        <f>COUNT(A449,A450,A451,A452,A453,A454,A455,A456,A457,A458,A459,A460,A461,A462,A463,A464,A465,A466,A467,A468,A469,A470,A471,A472,A473,A474,A475,A476,A477,A478)</f>
        <v>0</v>
      </c>
      <c r="B487" s="2673" t="s">
        <v>3650</v>
      </c>
      <c r="C487" s="2673"/>
      <c r="D487" s="2674" t="s">
        <v>953</v>
      </c>
      <c r="E487" s="2675">
        <f>SUM(E449:E486)</f>
        <v>80</v>
      </c>
      <c r="F487" s="2676">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78400</v>
      </c>
      <c r="H487" s="2677" t="s">
        <v>3647</v>
      </c>
      <c r="I487" s="2678" t="s">
        <v>3648</v>
      </c>
      <c r="J487" s="2679" t="str">
        <f>IF(P505=0,"",IF(SUM(P496:P500)/P505&gt;=0.4,"Pass","Fail"))</f>
        <v>Pass</v>
      </c>
      <c r="K487" s="362"/>
      <c r="L487" s="2680" t="s">
        <v>1223</v>
      </c>
      <c r="M487" s="2681">
        <f>SUM(M449:M486)</f>
        <v>103220</v>
      </c>
      <c r="N487" s="358"/>
      <c r="O487" s="358"/>
      <c r="P487" s="358"/>
      <c r="Q487" s="358"/>
      <c r="R487" s="358"/>
      <c r="S487" s="358"/>
      <c r="T487" s="358"/>
      <c r="U487" s="358"/>
      <c r="V487" s="2653"/>
      <c r="W487" s="1658"/>
      <c r="X487" s="1658">
        <f t="shared" ref="X487:FA487" si="338">SUM(X449:X486)</f>
        <v>0</v>
      </c>
      <c r="Y487" s="1658">
        <f t="shared" si="338"/>
        <v>0</v>
      </c>
      <c r="Z487" s="1658">
        <f t="shared" si="338"/>
        <v>0</v>
      </c>
      <c r="AA487" s="1658">
        <f t="shared" si="338"/>
        <v>0</v>
      </c>
      <c r="AB487" s="1658">
        <f t="shared" si="338"/>
        <v>0</v>
      </c>
      <c r="AC487" s="1658">
        <f t="shared" si="338"/>
        <v>0</v>
      </c>
      <c r="AD487" s="1658">
        <f t="shared" si="338"/>
        <v>0</v>
      </c>
      <c r="AE487" s="1658">
        <f t="shared" si="338"/>
        <v>0</v>
      </c>
      <c r="AF487" s="1658">
        <f t="shared" si="338"/>
        <v>0</v>
      </c>
      <c r="AG487" s="1658">
        <f t="shared" si="338"/>
        <v>0</v>
      </c>
      <c r="AH487" s="1658">
        <f t="shared" si="338"/>
        <v>0</v>
      </c>
      <c r="AI487" s="1658">
        <f t="shared" si="338"/>
        <v>9</v>
      </c>
      <c r="AJ487" s="1658">
        <f t="shared" si="338"/>
        <v>19</v>
      </c>
      <c r="AK487" s="1658">
        <f t="shared" si="338"/>
        <v>19</v>
      </c>
      <c r="AL487" s="1658">
        <f t="shared" si="338"/>
        <v>0</v>
      </c>
      <c r="AM487" s="1658">
        <f>SUM(AM449:AM486)</f>
        <v>0</v>
      </c>
      <c r="AN487" s="1658">
        <f>SUM(AN449:AN486)</f>
        <v>3</v>
      </c>
      <c r="AO487" s="1658">
        <f>SUM(AO449:AO486)</f>
        <v>5</v>
      </c>
      <c r="AP487" s="1658">
        <f>SUM(AP449:AP486)</f>
        <v>5</v>
      </c>
      <c r="AQ487" s="1658">
        <f>SUM(AQ449:AQ486)</f>
        <v>0</v>
      </c>
      <c r="AR487" s="1658">
        <f t="shared" si="338"/>
        <v>0</v>
      </c>
      <c r="AS487" s="1658">
        <f t="shared" si="338"/>
        <v>0</v>
      </c>
      <c r="AT487" s="1658">
        <f t="shared" si="338"/>
        <v>0</v>
      </c>
      <c r="AU487" s="1658">
        <f t="shared" si="338"/>
        <v>0</v>
      </c>
      <c r="AV487" s="1658">
        <f t="shared" si="338"/>
        <v>0</v>
      </c>
      <c r="AW487" s="1658">
        <f t="shared" si="338"/>
        <v>0</v>
      </c>
      <c r="AX487" s="1658">
        <f t="shared" si="338"/>
        <v>0</v>
      </c>
      <c r="AY487" s="1658">
        <f t="shared" si="338"/>
        <v>0</v>
      </c>
      <c r="AZ487" s="1658">
        <f t="shared" si="338"/>
        <v>0</v>
      </c>
      <c r="BA487" s="1658">
        <f t="shared" si="338"/>
        <v>0</v>
      </c>
      <c r="BB487" s="1658">
        <f>SUM(BB449:BB486)</f>
        <v>0</v>
      </c>
      <c r="BC487" s="1658">
        <f>SUM(BC449:BC486)</f>
        <v>0</v>
      </c>
      <c r="BD487" s="1658">
        <f>SUM(BD449:BD486)</f>
        <v>0</v>
      </c>
      <c r="BE487" s="1658">
        <f>SUM(BE449:BE486)</f>
        <v>0</v>
      </c>
      <c r="BF487" s="1658">
        <f>SUM(BF449:BF486)</f>
        <v>0</v>
      </c>
      <c r="BG487" s="1658">
        <f t="shared" si="338"/>
        <v>0</v>
      </c>
      <c r="BH487" s="1658">
        <f t="shared" si="338"/>
        <v>4</v>
      </c>
      <c r="BI487" s="1658">
        <f t="shared" si="338"/>
        <v>8</v>
      </c>
      <c r="BJ487" s="1658">
        <f t="shared" si="338"/>
        <v>8</v>
      </c>
      <c r="BK487" s="1658">
        <f t="shared" si="338"/>
        <v>0</v>
      </c>
      <c r="BL487" s="1658">
        <f>SUM(BL449:BL486)</f>
        <v>0</v>
      </c>
      <c r="BM487" s="1658">
        <f>SUM(BM449:BM486)</f>
        <v>0</v>
      </c>
      <c r="BN487" s="1658">
        <f>SUM(BN449:BN486)</f>
        <v>0</v>
      </c>
      <c r="BO487" s="1658">
        <f>SUM(BO449:BO486)</f>
        <v>0</v>
      </c>
      <c r="BP487" s="1658">
        <f>SUM(BP449:BP486)</f>
        <v>0</v>
      </c>
      <c r="BQ487" s="1658">
        <f t="shared" si="338"/>
        <v>0</v>
      </c>
      <c r="BR487" s="1658">
        <f t="shared" si="338"/>
        <v>0</v>
      </c>
      <c r="BS487" s="1658">
        <f t="shared" si="338"/>
        <v>0</v>
      </c>
      <c r="BT487" s="1658">
        <f t="shared" si="338"/>
        <v>0</v>
      </c>
      <c r="BU487" s="1658">
        <f t="shared" si="338"/>
        <v>0</v>
      </c>
      <c r="BV487" s="1658">
        <f>SUM(BV449:BV486)</f>
        <v>0</v>
      </c>
      <c r="BW487" s="1658">
        <f>SUM(BW449:BW486)</f>
        <v>0</v>
      </c>
      <c r="BX487" s="1658">
        <f>SUM(BX449:BX486)</f>
        <v>0</v>
      </c>
      <c r="BY487" s="1658">
        <f>SUM(BY449:BY486)</f>
        <v>0</v>
      </c>
      <c r="BZ487" s="1658">
        <f>SUM(BZ449:BZ486)</f>
        <v>0</v>
      </c>
      <c r="CA487" s="1658">
        <f t="shared" si="338"/>
        <v>0</v>
      </c>
      <c r="CB487" s="1658">
        <f t="shared" si="338"/>
        <v>0</v>
      </c>
      <c r="CC487" s="1658">
        <f t="shared" si="338"/>
        <v>0</v>
      </c>
      <c r="CD487" s="1658">
        <f t="shared" si="338"/>
        <v>0</v>
      </c>
      <c r="CE487" s="1658">
        <f t="shared" si="338"/>
        <v>0</v>
      </c>
      <c r="CF487" s="1658">
        <f t="shared" si="338"/>
        <v>0</v>
      </c>
      <c r="CG487" s="1658">
        <f t="shared" si="338"/>
        <v>0</v>
      </c>
      <c r="CH487" s="1658">
        <f t="shared" si="338"/>
        <v>0</v>
      </c>
      <c r="CI487" s="1658">
        <f t="shared" si="338"/>
        <v>0</v>
      </c>
      <c r="CJ487" s="1658">
        <f t="shared" si="338"/>
        <v>0</v>
      </c>
      <c r="CK487" s="1658">
        <f>SUM(CK449:CK486)</f>
        <v>0</v>
      </c>
      <c r="CL487" s="1658">
        <f>SUM(CL449:CL486)</f>
        <v>0</v>
      </c>
      <c r="CM487" s="1658">
        <f>SUM(CM449:CM486)</f>
        <v>0</v>
      </c>
      <c r="CN487" s="1658">
        <f>SUM(CN449:CN486)</f>
        <v>0</v>
      </c>
      <c r="CO487" s="1658">
        <f>SUM(CO449:CO486)</f>
        <v>0</v>
      </c>
      <c r="CP487" s="1658">
        <f t="shared" ref="CP487:CY487" si="339">SUM(CP449:CP486)</f>
        <v>0</v>
      </c>
      <c r="CQ487" s="1658">
        <f t="shared" si="339"/>
        <v>0</v>
      </c>
      <c r="CR487" s="1658">
        <f t="shared" si="339"/>
        <v>0</v>
      </c>
      <c r="CS487" s="1658">
        <f t="shared" si="339"/>
        <v>0</v>
      </c>
      <c r="CT487" s="1658">
        <f t="shared" si="339"/>
        <v>0</v>
      </c>
      <c r="CU487" s="1658">
        <f t="shared" si="339"/>
        <v>0</v>
      </c>
      <c r="CV487" s="1658">
        <f t="shared" si="339"/>
        <v>0</v>
      </c>
      <c r="CW487" s="1658">
        <f t="shared" si="339"/>
        <v>0</v>
      </c>
      <c r="CX487" s="1658">
        <f t="shared" si="339"/>
        <v>0</v>
      </c>
      <c r="CY487" s="1658">
        <f t="shared" si="339"/>
        <v>0</v>
      </c>
      <c r="CZ487" s="1658">
        <f t="shared" si="338"/>
        <v>0</v>
      </c>
      <c r="DA487" s="1658">
        <f t="shared" si="338"/>
        <v>0</v>
      </c>
      <c r="DB487" s="1658">
        <f t="shared" si="338"/>
        <v>0</v>
      </c>
      <c r="DC487" s="1658">
        <f t="shared" si="338"/>
        <v>0</v>
      </c>
      <c r="DD487" s="1658">
        <f t="shared" si="338"/>
        <v>0</v>
      </c>
      <c r="DE487" s="1658">
        <f t="shared" si="338"/>
        <v>0</v>
      </c>
      <c r="DF487" s="1658">
        <f t="shared" si="338"/>
        <v>0</v>
      </c>
      <c r="DG487" s="1658">
        <f t="shared" si="338"/>
        <v>0</v>
      </c>
      <c r="DH487" s="1658">
        <f t="shared" si="338"/>
        <v>0</v>
      </c>
      <c r="DI487" s="1658">
        <f t="shared" si="338"/>
        <v>0</v>
      </c>
      <c r="DJ487" s="1658">
        <f t="shared" si="338"/>
        <v>0</v>
      </c>
      <c r="DK487" s="1658">
        <f t="shared" si="338"/>
        <v>0</v>
      </c>
      <c r="DL487" s="1658">
        <f t="shared" si="338"/>
        <v>0</v>
      </c>
      <c r="DM487" s="1658">
        <f t="shared" si="338"/>
        <v>0</v>
      </c>
      <c r="DN487" s="1658">
        <f t="shared" si="338"/>
        <v>0</v>
      </c>
      <c r="DO487" s="1658">
        <f t="shared" si="338"/>
        <v>0</v>
      </c>
      <c r="DP487" s="1658">
        <f t="shared" si="338"/>
        <v>0</v>
      </c>
      <c r="DQ487" s="1658">
        <f t="shared" si="338"/>
        <v>0</v>
      </c>
      <c r="DR487" s="1658">
        <f t="shared" si="338"/>
        <v>0</v>
      </c>
      <c r="DS487" s="1658">
        <f t="shared" si="338"/>
        <v>0</v>
      </c>
      <c r="DT487" s="1658">
        <f t="shared" si="338"/>
        <v>0</v>
      </c>
      <c r="DU487" s="1658">
        <f t="shared" si="338"/>
        <v>0</v>
      </c>
      <c r="DV487" s="1658">
        <f t="shared" si="338"/>
        <v>0</v>
      </c>
      <c r="DW487" s="1658">
        <f t="shared" si="338"/>
        <v>0</v>
      </c>
      <c r="DX487" s="1658">
        <f t="shared" si="338"/>
        <v>0</v>
      </c>
      <c r="DY487" s="1658">
        <f t="shared" si="338"/>
        <v>0</v>
      </c>
      <c r="DZ487" s="1658">
        <f t="shared" si="338"/>
        <v>0</v>
      </c>
      <c r="EA487" s="1658">
        <f t="shared" si="338"/>
        <v>0</v>
      </c>
      <c r="EB487" s="1658">
        <f t="shared" si="338"/>
        <v>0</v>
      </c>
      <c r="EC487" s="1658">
        <f t="shared" si="338"/>
        <v>0</v>
      </c>
      <c r="ED487" s="1658">
        <f t="shared" si="338"/>
        <v>0</v>
      </c>
      <c r="EE487" s="1658">
        <f t="shared" si="338"/>
        <v>0</v>
      </c>
      <c r="EF487" s="1658">
        <f t="shared" si="338"/>
        <v>0</v>
      </c>
      <c r="EG487" s="1658">
        <f t="shared" si="338"/>
        <v>0</v>
      </c>
      <c r="EH487" s="1658">
        <f t="shared" si="338"/>
        <v>0</v>
      </c>
      <c r="EI487" s="1658">
        <f t="shared" si="338"/>
        <v>0</v>
      </c>
      <c r="EJ487" s="1658">
        <f t="shared" si="338"/>
        <v>0</v>
      </c>
      <c r="EK487" s="1658">
        <f t="shared" si="338"/>
        <v>0</v>
      </c>
      <c r="EL487" s="1658">
        <f t="shared" si="338"/>
        <v>0</v>
      </c>
      <c r="EM487" s="1658">
        <f t="shared" si="338"/>
        <v>0</v>
      </c>
      <c r="EN487" s="1658">
        <f t="shared" si="338"/>
        <v>0</v>
      </c>
      <c r="EO487" s="1658">
        <f t="shared" si="338"/>
        <v>0</v>
      </c>
      <c r="EP487" s="1658">
        <f t="shared" si="338"/>
        <v>0</v>
      </c>
      <c r="EQ487" s="1658">
        <f t="shared" si="338"/>
        <v>0</v>
      </c>
      <c r="ER487" s="1658">
        <f t="shared" si="338"/>
        <v>0</v>
      </c>
      <c r="ES487" s="1658">
        <f t="shared" si="338"/>
        <v>0</v>
      </c>
      <c r="ET487" s="1658">
        <f t="shared" si="338"/>
        <v>6300</v>
      </c>
      <c r="EU487" s="1658">
        <f t="shared" si="338"/>
        <v>17100</v>
      </c>
      <c r="EV487" s="1658">
        <f t="shared" si="338"/>
        <v>22800</v>
      </c>
      <c r="EW487" s="1658">
        <f t="shared" si="338"/>
        <v>0</v>
      </c>
      <c r="EX487" s="1658">
        <f t="shared" si="338"/>
        <v>0</v>
      </c>
      <c r="EY487" s="1658">
        <f t="shared" si="338"/>
        <v>2100</v>
      </c>
      <c r="EZ487" s="1658">
        <f t="shared" si="338"/>
        <v>4500</v>
      </c>
      <c r="FA487" s="1658">
        <f t="shared" si="338"/>
        <v>6000</v>
      </c>
      <c r="FB487" s="1658">
        <f t="shared" ref="FB487:HW487" si="340">SUM(FB449:FB486)</f>
        <v>0</v>
      </c>
      <c r="FC487" s="1658">
        <f>SUM(FC449:FC486)</f>
        <v>0</v>
      </c>
      <c r="FD487" s="1658">
        <f>SUM(FD449:FD486)</f>
        <v>0</v>
      </c>
      <c r="FE487" s="1658">
        <f>SUM(FE449:FE486)</f>
        <v>0</v>
      </c>
      <c r="FF487" s="1658">
        <f>SUM(FF449:FF486)</f>
        <v>0</v>
      </c>
      <c r="FG487" s="1658">
        <f>SUM(FG449:FG486)</f>
        <v>0</v>
      </c>
      <c r="FH487" s="1658">
        <f t="shared" si="340"/>
        <v>0</v>
      </c>
      <c r="FI487" s="1658">
        <f t="shared" si="340"/>
        <v>0</v>
      </c>
      <c r="FJ487" s="1658">
        <f t="shared" si="340"/>
        <v>0</v>
      </c>
      <c r="FK487" s="1658">
        <f t="shared" si="340"/>
        <v>0</v>
      </c>
      <c r="FL487" s="1658">
        <f t="shared" si="340"/>
        <v>0</v>
      </c>
      <c r="FM487" s="1658">
        <f>SUM(FM449:FM486)</f>
        <v>0</v>
      </c>
      <c r="FN487" s="1658">
        <f>SUM(FN449:FN486)</f>
        <v>0</v>
      </c>
      <c r="FO487" s="1658">
        <f>SUM(FO449:FO486)</f>
        <v>0</v>
      </c>
      <c r="FP487" s="1658">
        <f>SUM(FP449:FP486)</f>
        <v>0</v>
      </c>
      <c r="FQ487" s="1658">
        <f>SUM(FQ449:FQ486)</f>
        <v>0</v>
      </c>
      <c r="FR487" s="1658">
        <f t="shared" si="340"/>
        <v>0</v>
      </c>
      <c r="FS487" s="1658">
        <f t="shared" si="340"/>
        <v>2800</v>
      </c>
      <c r="FT487" s="1658">
        <f t="shared" si="340"/>
        <v>7200</v>
      </c>
      <c r="FU487" s="1658">
        <f t="shared" si="340"/>
        <v>9600</v>
      </c>
      <c r="FV487" s="1658">
        <f t="shared" si="340"/>
        <v>0</v>
      </c>
      <c r="FW487" s="1658">
        <f t="shared" si="340"/>
        <v>0</v>
      </c>
      <c r="FX487" s="1658">
        <f t="shared" si="340"/>
        <v>0</v>
      </c>
      <c r="FY487" s="1658">
        <f t="shared" si="340"/>
        <v>0</v>
      </c>
      <c r="FZ487" s="1658">
        <f t="shared" si="340"/>
        <v>0</v>
      </c>
      <c r="GA487" s="1658">
        <f t="shared" si="340"/>
        <v>0</v>
      </c>
      <c r="GB487" s="1658">
        <f t="shared" si="340"/>
        <v>0</v>
      </c>
      <c r="GC487" s="1658">
        <f t="shared" si="340"/>
        <v>0</v>
      </c>
      <c r="GD487" s="1658">
        <f t="shared" si="340"/>
        <v>0</v>
      </c>
      <c r="GE487" s="1658">
        <f t="shared" si="340"/>
        <v>0</v>
      </c>
      <c r="GF487" s="1658">
        <f t="shared" si="340"/>
        <v>0</v>
      </c>
      <c r="GG487" s="1658">
        <f t="shared" si="340"/>
        <v>0</v>
      </c>
      <c r="GH487" s="1658">
        <f t="shared" si="340"/>
        <v>12</v>
      </c>
      <c r="GI487" s="1658">
        <f t="shared" si="340"/>
        <v>24</v>
      </c>
      <c r="GJ487" s="1658">
        <f t="shared" si="340"/>
        <v>24</v>
      </c>
      <c r="GK487" s="1658">
        <f t="shared" si="340"/>
        <v>0</v>
      </c>
      <c r="GL487" s="1658">
        <f t="shared" si="340"/>
        <v>0</v>
      </c>
      <c r="GM487" s="1658">
        <f t="shared" si="340"/>
        <v>4</v>
      </c>
      <c r="GN487" s="1658">
        <f t="shared" si="340"/>
        <v>8</v>
      </c>
      <c r="GO487" s="1658">
        <f t="shared" si="340"/>
        <v>8</v>
      </c>
      <c r="GP487" s="1658">
        <f t="shared" si="340"/>
        <v>0</v>
      </c>
      <c r="GQ487" s="1658">
        <f t="shared" si="340"/>
        <v>0</v>
      </c>
      <c r="GR487" s="1658">
        <f t="shared" si="340"/>
        <v>0</v>
      </c>
      <c r="GS487" s="1658">
        <f t="shared" si="340"/>
        <v>0</v>
      </c>
      <c r="GT487" s="1658">
        <f t="shared" si="340"/>
        <v>0</v>
      </c>
      <c r="GU487" s="1658">
        <f t="shared" si="340"/>
        <v>0</v>
      </c>
      <c r="GV487" s="1658">
        <f t="shared" si="340"/>
        <v>0</v>
      </c>
      <c r="GW487" s="1658">
        <f t="shared" si="340"/>
        <v>0</v>
      </c>
      <c r="GX487" s="1658">
        <f t="shared" si="340"/>
        <v>0</v>
      </c>
      <c r="GY487" s="1658">
        <f t="shared" si="340"/>
        <v>0</v>
      </c>
      <c r="GZ487" s="1658">
        <f t="shared" si="340"/>
        <v>0</v>
      </c>
      <c r="HA487" s="1658">
        <f t="shared" si="340"/>
        <v>0</v>
      </c>
      <c r="HB487" s="1658">
        <f t="shared" si="340"/>
        <v>0</v>
      </c>
      <c r="HC487" s="1658">
        <f t="shared" si="340"/>
        <v>0</v>
      </c>
      <c r="HD487" s="1658">
        <f t="shared" si="340"/>
        <v>0</v>
      </c>
      <c r="HE487" s="1658">
        <f t="shared" si="340"/>
        <v>0</v>
      </c>
      <c r="HF487" s="1658">
        <f t="shared" si="340"/>
        <v>0</v>
      </c>
      <c r="HG487" s="1658">
        <f t="shared" si="340"/>
        <v>0</v>
      </c>
      <c r="HH487" s="1658">
        <f t="shared" si="340"/>
        <v>0</v>
      </c>
      <c r="HI487" s="1658">
        <f t="shared" si="340"/>
        <v>0</v>
      </c>
      <c r="HJ487" s="1658">
        <f t="shared" si="340"/>
        <v>0</v>
      </c>
      <c r="HK487" s="1658">
        <f t="shared" si="340"/>
        <v>0</v>
      </c>
      <c r="HL487" s="1658">
        <f t="shared" si="340"/>
        <v>0</v>
      </c>
      <c r="HM487" s="1658">
        <f t="shared" si="340"/>
        <v>0</v>
      </c>
      <c r="HN487" s="1658">
        <f t="shared" si="340"/>
        <v>0</v>
      </c>
      <c r="HO487" s="1658">
        <f t="shared" si="340"/>
        <v>0</v>
      </c>
      <c r="HP487" s="1658">
        <f t="shared" si="340"/>
        <v>0</v>
      </c>
      <c r="HQ487" s="1658">
        <f t="shared" si="340"/>
        <v>0</v>
      </c>
      <c r="HR487" s="1658">
        <f t="shared" si="340"/>
        <v>0</v>
      </c>
      <c r="HS487" s="1658">
        <f t="shared" si="340"/>
        <v>0</v>
      </c>
      <c r="HT487" s="1658">
        <f t="shared" si="340"/>
        <v>0</v>
      </c>
      <c r="HU487" s="1658">
        <f t="shared" si="340"/>
        <v>0</v>
      </c>
      <c r="HV487" s="1658">
        <f t="shared" si="340"/>
        <v>0</v>
      </c>
      <c r="HW487" s="1658">
        <f t="shared" si="340"/>
        <v>0</v>
      </c>
      <c r="HX487" s="1658">
        <f t="shared" ref="HX487:KG487" si="341">SUM(HX449:HX486)</f>
        <v>0</v>
      </c>
      <c r="HY487" s="1658">
        <f t="shared" si="341"/>
        <v>0</v>
      </c>
      <c r="HZ487" s="1658">
        <f t="shared" si="341"/>
        <v>0</v>
      </c>
      <c r="IA487" s="1658">
        <f t="shared" si="341"/>
        <v>16</v>
      </c>
      <c r="IB487" s="1658">
        <f t="shared" si="341"/>
        <v>32</v>
      </c>
      <c r="IC487" s="1658">
        <f t="shared" si="341"/>
        <v>32</v>
      </c>
      <c r="ID487" s="1658">
        <f t="shared" si="341"/>
        <v>0</v>
      </c>
      <c r="IE487" s="1658">
        <f t="shared" si="341"/>
        <v>0</v>
      </c>
      <c r="IF487" s="1658">
        <f t="shared" si="341"/>
        <v>0</v>
      </c>
      <c r="IG487" s="1658">
        <f t="shared" si="341"/>
        <v>0</v>
      </c>
      <c r="IH487" s="1658">
        <f t="shared" si="341"/>
        <v>0</v>
      </c>
      <c r="II487" s="1658">
        <f t="shared" si="341"/>
        <v>0</v>
      </c>
      <c r="IJ487" s="1658">
        <f t="shared" si="341"/>
        <v>0</v>
      </c>
      <c r="IK487" s="1658">
        <f t="shared" si="341"/>
        <v>0</v>
      </c>
      <c r="IL487" s="1658">
        <f t="shared" si="341"/>
        <v>0</v>
      </c>
      <c r="IM487" s="1658">
        <f t="shared" si="341"/>
        <v>0</v>
      </c>
      <c r="IN487" s="1658">
        <f t="shared" si="341"/>
        <v>0</v>
      </c>
      <c r="IO487" s="1658">
        <f t="shared" si="341"/>
        <v>0</v>
      </c>
      <c r="IP487" s="1658">
        <f t="shared" si="341"/>
        <v>0</v>
      </c>
      <c r="IQ487" s="1658">
        <f t="shared" si="341"/>
        <v>0</v>
      </c>
      <c r="IR487" s="1658">
        <f t="shared" si="341"/>
        <v>0</v>
      </c>
      <c r="IS487" s="1658">
        <f t="shared" si="341"/>
        <v>0</v>
      </c>
      <c r="IT487" s="1658">
        <f t="shared" si="341"/>
        <v>0</v>
      </c>
      <c r="IU487" s="1658">
        <f t="shared" si="341"/>
        <v>0</v>
      </c>
      <c r="IV487" s="1658">
        <f t="shared" si="341"/>
        <v>0</v>
      </c>
      <c r="IW487" s="1658">
        <f t="shared" si="341"/>
        <v>0</v>
      </c>
      <c r="IX487" s="1658">
        <f t="shared" si="341"/>
        <v>0</v>
      </c>
      <c r="IY487" s="1658">
        <f t="shared" si="341"/>
        <v>0</v>
      </c>
      <c r="IZ487" s="1658">
        <f t="shared" si="341"/>
        <v>0</v>
      </c>
      <c r="JA487" s="1658">
        <f t="shared" si="341"/>
        <v>0</v>
      </c>
      <c r="JB487" s="1658">
        <f t="shared" si="341"/>
        <v>0</v>
      </c>
      <c r="JC487" s="1658">
        <f t="shared" si="341"/>
        <v>0</v>
      </c>
      <c r="JD487" s="1658">
        <f t="shared" si="341"/>
        <v>0</v>
      </c>
      <c r="JE487" s="1658">
        <f t="shared" si="341"/>
        <v>0</v>
      </c>
      <c r="JF487" s="1658">
        <f t="shared" si="341"/>
        <v>0</v>
      </c>
      <c r="JG487" s="1658">
        <f t="shared" si="341"/>
        <v>0</v>
      </c>
      <c r="JH487" s="1658">
        <f t="shared" si="341"/>
        <v>0</v>
      </c>
      <c r="JI487" s="1658">
        <f t="shared" si="341"/>
        <v>0</v>
      </c>
      <c r="JJ487" s="1658">
        <f t="shared" si="341"/>
        <v>0</v>
      </c>
      <c r="JK487" s="1658">
        <f t="shared" si="341"/>
        <v>0</v>
      </c>
      <c r="JL487" s="1658">
        <f t="shared" si="341"/>
        <v>0</v>
      </c>
      <c r="JM487" s="1658">
        <f t="shared" si="341"/>
        <v>0</v>
      </c>
      <c r="JN487" s="1658">
        <f t="shared" si="341"/>
        <v>0</v>
      </c>
      <c r="JO487" s="1658">
        <f t="shared" si="341"/>
        <v>0</v>
      </c>
      <c r="JP487" s="1658">
        <f t="shared" si="341"/>
        <v>0</v>
      </c>
      <c r="JQ487" s="1658">
        <f t="shared" si="341"/>
        <v>0</v>
      </c>
      <c r="JR487" s="1658">
        <f t="shared" si="341"/>
        <v>0</v>
      </c>
      <c r="JS487" s="1658">
        <f t="shared" si="341"/>
        <v>0</v>
      </c>
      <c r="JT487" s="1658">
        <f t="shared" si="341"/>
        <v>0</v>
      </c>
      <c r="JU487" s="1658">
        <f t="shared" si="341"/>
        <v>0</v>
      </c>
      <c r="JV487" s="1658">
        <f t="shared" si="341"/>
        <v>0</v>
      </c>
      <c r="JW487" s="1658">
        <f t="shared" si="341"/>
        <v>0</v>
      </c>
      <c r="JX487" s="1658">
        <f>SUM(JX449:JX486)</f>
        <v>0</v>
      </c>
      <c r="JY487" s="1658">
        <f>SUM(JY449:JY486)</f>
        <v>0</v>
      </c>
      <c r="JZ487" s="1658">
        <f>SUM(JZ449:JZ486)</f>
        <v>0</v>
      </c>
      <c r="KA487" s="1658">
        <f>SUM(KA449:KA486)</f>
        <v>0</v>
      </c>
      <c r="KB487" s="1658">
        <f>SUM(KB449:KB486)</f>
        <v>0</v>
      </c>
      <c r="KC487" s="1658">
        <f t="shared" si="341"/>
        <v>0</v>
      </c>
      <c r="KD487" s="1658">
        <f t="shared" si="341"/>
        <v>0</v>
      </c>
      <c r="KE487" s="1658">
        <f t="shared" si="341"/>
        <v>0</v>
      </c>
      <c r="KF487" s="1658">
        <f t="shared" si="341"/>
        <v>0</v>
      </c>
      <c r="KG487" s="1658">
        <f t="shared" si="341"/>
        <v>0</v>
      </c>
      <c r="KH487" s="1658">
        <f>SUM(KH449:KH486)</f>
        <v>0</v>
      </c>
      <c r="KI487" s="1658">
        <f>SUM(KI449:KI486)</f>
        <v>0</v>
      </c>
      <c r="KJ487" s="1658">
        <f>SUM(KJ449:KJ486)</f>
        <v>0</v>
      </c>
      <c r="KK487" s="1658">
        <f>SUM(KK449:KK486)</f>
        <v>0</v>
      </c>
      <c r="KL487" s="1658">
        <f>SUM(KL449:KL486)</f>
        <v>0</v>
      </c>
      <c r="KM487" s="1658">
        <f t="shared" ref="KM487:LA487" si="342">SUM(KM449:KM486)</f>
        <v>0</v>
      </c>
      <c r="KN487" s="1658">
        <f t="shared" si="342"/>
        <v>0</v>
      </c>
      <c r="KO487" s="1658">
        <f t="shared" si="342"/>
        <v>0</v>
      </c>
      <c r="KP487" s="1658">
        <f t="shared" si="342"/>
        <v>0</v>
      </c>
      <c r="KQ487" s="1658">
        <f t="shared" si="342"/>
        <v>0</v>
      </c>
      <c r="KR487" s="1658">
        <f>SUM(KR449:KR486)</f>
        <v>0</v>
      </c>
      <c r="KS487" s="1658">
        <f>SUM(KS449:KS486)</f>
        <v>16</v>
      </c>
      <c r="KT487" s="1658">
        <f>SUM(KT449:KT486)</f>
        <v>32</v>
      </c>
      <c r="KU487" s="1658">
        <f>SUM(KU449:KU486)</f>
        <v>32</v>
      </c>
      <c r="KV487" s="1658">
        <f>SUM(KV449:KV486)</f>
        <v>0</v>
      </c>
      <c r="KW487" s="1658">
        <f t="shared" si="342"/>
        <v>0</v>
      </c>
      <c r="KX487" s="1658">
        <f t="shared" si="342"/>
        <v>0</v>
      </c>
      <c r="KY487" s="1658">
        <f t="shared" si="342"/>
        <v>0</v>
      </c>
      <c r="KZ487" s="1658">
        <f t="shared" si="342"/>
        <v>0</v>
      </c>
      <c r="LA487" s="1658">
        <f t="shared" si="342"/>
        <v>0</v>
      </c>
      <c r="LB487" s="1658">
        <f>SUM(LB449:LB486)</f>
        <v>0</v>
      </c>
      <c r="LC487" s="1658">
        <f>SUM(LC449:LC486)</f>
        <v>0</v>
      </c>
      <c r="LD487" s="1658">
        <f>SUM(LD449:LD486)</f>
        <v>0</v>
      </c>
      <c r="LE487" s="1658">
        <f>SUM(LE449:LE486)</f>
        <v>0</v>
      </c>
      <c r="LF487" s="1658">
        <f>SUM(LF449:LF486)</f>
        <v>0</v>
      </c>
      <c r="LG487" s="1658">
        <f t="shared" ref="LG487:MU487" si="343">SUM(LG449:LG486)</f>
        <v>0</v>
      </c>
      <c r="LH487" s="1658">
        <f t="shared" si="343"/>
        <v>0</v>
      </c>
      <c r="LI487" s="1658">
        <f t="shared" si="343"/>
        <v>0</v>
      </c>
      <c r="LJ487" s="1658">
        <f t="shared" si="343"/>
        <v>0</v>
      </c>
      <c r="LK487" s="1658">
        <f t="shared" si="343"/>
        <v>0</v>
      </c>
      <c r="LL487" s="1658">
        <f t="shared" si="343"/>
        <v>0</v>
      </c>
      <c r="LM487" s="1658">
        <f t="shared" si="343"/>
        <v>0</v>
      </c>
      <c r="LN487" s="1658">
        <f t="shared" si="343"/>
        <v>0</v>
      </c>
      <c r="LO487" s="1658">
        <f t="shared" si="343"/>
        <v>0</v>
      </c>
      <c r="LP487" s="1658">
        <f t="shared" si="343"/>
        <v>0</v>
      </c>
      <c r="LQ487" s="1658">
        <f t="shared" si="343"/>
        <v>0</v>
      </c>
      <c r="LR487" s="1658">
        <f t="shared" si="343"/>
        <v>0</v>
      </c>
      <c r="LS487" s="1658">
        <f t="shared" si="343"/>
        <v>0</v>
      </c>
      <c r="LT487" s="1658">
        <f t="shared" si="343"/>
        <v>0</v>
      </c>
      <c r="LU487" s="1658">
        <f t="shared" si="343"/>
        <v>0</v>
      </c>
      <c r="LV487" s="1658">
        <f t="shared" si="343"/>
        <v>0</v>
      </c>
      <c r="LW487" s="1658">
        <f t="shared" si="343"/>
        <v>0</v>
      </c>
      <c r="LX487" s="1658">
        <f t="shared" si="343"/>
        <v>0</v>
      </c>
      <c r="LY487" s="1658">
        <f t="shared" si="343"/>
        <v>0</v>
      </c>
      <c r="LZ487" s="1658">
        <f t="shared" si="343"/>
        <v>0</v>
      </c>
      <c r="MA487" s="1658">
        <f t="shared" si="343"/>
        <v>0</v>
      </c>
      <c r="MB487" s="1658">
        <f t="shared" si="343"/>
        <v>0</v>
      </c>
      <c r="MC487" s="1658">
        <f t="shared" si="343"/>
        <v>0</v>
      </c>
      <c r="MD487" s="1658">
        <f t="shared" si="343"/>
        <v>0</v>
      </c>
      <c r="ME487" s="1658">
        <f t="shared" si="343"/>
        <v>0</v>
      </c>
      <c r="MF487" s="1658">
        <f t="shared" si="343"/>
        <v>0</v>
      </c>
      <c r="MG487" s="1658">
        <f t="shared" si="343"/>
        <v>0</v>
      </c>
      <c r="MH487" s="1658">
        <f t="shared" si="343"/>
        <v>0</v>
      </c>
      <c r="MI487" s="1658">
        <f t="shared" si="343"/>
        <v>0</v>
      </c>
      <c r="MJ487" s="1658">
        <f t="shared" si="343"/>
        <v>0</v>
      </c>
      <c r="MK487" s="1658">
        <f t="shared" si="343"/>
        <v>0</v>
      </c>
      <c r="ML487" s="1658">
        <f t="shared" si="343"/>
        <v>16</v>
      </c>
      <c r="MM487" s="1658">
        <f t="shared" si="343"/>
        <v>32</v>
      </c>
      <c r="MN487" s="1658">
        <f t="shared" si="343"/>
        <v>32</v>
      </c>
      <c r="MO487" s="1658">
        <f t="shared" si="343"/>
        <v>0</v>
      </c>
      <c r="MP487" s="1658">
        <f t="shared" si="343"/>
        <v>0</v>
      </c>
      <c r="MQ487" s="1658">
        <f t="shared" si="343"/>
        <v>0</v>
      </c>
      <c r="MR487" s="1658">
        <f t="shared" si="343"/>
        <v>0</v>
      </c>
      <c r="MS487" s="1658">
        <f t="shared" si="343"/>
        <v>0</v>
      </c>
      <c r="MT487" s="1658">
        <f t="shared" si="343"/>
        <v>0</v>
      </c>
      <c r="MU487" s="1658">
        <f t="shared" si="343"/>
        <v>0</v>
      </c>
      <c r="NP487" s="356" t="s">
        <v>4342</v>
      </c>
    </row>
    <row r="488" spans="1:380" ht="13.9" customHeight="1">
      <c r="B488" s="2682">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57.833333333333336</v>
      </c>
      <c r="C488" s="2682"/>
      <c r="D488" s="2645" t="s">
        <v>3557</v>
      </c>
      <c r="E488" s="2675">
        <f>SUM(E456:E486)</f>
        <v>60</v>
      </c>
      <c r="F488" s="2676">
        <f>(E456*F456+E457*F457+E458*F458+E459*F459+E460*F460+E461*F461+E462*F462+E463*F463+E464*F464+E465*F465+E466*F466+E467*F467+E468*F468+E469*F469+E470*F470+E471*F471+E472*F472+E473*F473+E474*F474+E475*F475+E476*F476+E477*F477+E478*F478+E479*F479+E480*F480+E481*F481+E482*F482+E483*F483+E484*F484+E485*F485+E486*F486)</f>
        <v>58800</v>
      </c>
      <c r="H488" s="2677"/>
      <c r="I488" s="2678" t="s">
        <v>3649</v>
      </c>
      <c r="J488" s="2679" t="str">
        <f>IF(P505=0,"",IF(SUM(P497:P500)/P505&gt;=0.2,"Pass","Fail"))</f>
        <v>Fail</v>
      </c>
      <c r="K488" s="362"/>
      <c r="L488" s="2674" t="s">
        <v>756</v>
      </c>
      <c r="M488" s="2681">
        <f>M487*12</f>
        <v>1238640</v>
      </c>
      <c r="N488" s="358"/>
      <c r="O488" s="358"/>
      <c r="P488" s="358"/>
      <c r="Q488" s="358"/>
      <c r="R488" s="358"/>
      <c r="S488" s="358"/>
      <c r="T488" s="358"/>
      <c r="U488" s="358"/>
      <c r="V488" s="358"/>
      <c r="W488" s="1658"/>
      <c r="X488" s="1658"/>
      <c r="Y488" s="1658"/>
      <c r="Z488" s="1658"/>
      <c r="AA488" s="1658"/>
      <c r="AB488" s="1658"/>
      <c r="AC488" s="1658"/>
      <c r="AD488" s="1658"/>
      <c r="AE488" s="1658"/>
      <c r="AF488" s="1658"/>
      <c r="AG488" s="1658"/>
      <c r="AH488" s="1658"/>
      <c r="AI488" s="1658"/>
      <c r="AJ488" s="1658"/>
      <c r="AK488" s="1658"/>
      <c r="AL488" s="1658"/>
      <c r="AM488" s="1658"/>
      <c r="AN488" s="1658"/>
      <c r="AO488" s="1658"/>
      <c r="AP488" s="1658"/>
      <c r="AQ488" s="1658"/>
      <c r="AR488" s="1658"/>
      <c r="AS488" s="1658"/>
      <c r="AT488" s="1658"/>
      <c r="AU488" s="1658"/>
      <c r="AV488" s="1658"/>
      <c r="AW488" s="1658"/>
      <c r="AX488" s="1658"/>
      <c r="AY488" s="1658"/>
      <c r="AZ488" s="1658"/>
      <c r="BA488" s="1658"/>
      <c r="BB488" s="1658"/>
      <c r="BC488" s="1658"/>
      <c r="BD488" s="1658"/>
      <c r="BE488" s="1658"/>
      <c r="BF488" s="1658"/>
      <c r="BG488" s="1658"/>
      <c r="BH488" s="1658"/>
      <c r="BI488" s="1658"/>
      <c r="BJ488" s="1658"/>
      <c r="BK488" s="1658"/>
      <c r="BL488" s="1658"/>
      <c r="BM488" s="1658"/>
      <c r="BN488" s="1658"/>
      <c r="BO488" s="1658"/>
      <c r="BP488" s="1658"/>
      <c r="BQ488" s="1658"/>
      <c r="BR488" s="1658"/>
      <c r="BS488" s="1658"/>
      <c r="BT488" s="1658"/>
      <c r="BU488" s="1658"/>
      <c r="BV488" s="1658"/>
      <c r="BW488" s="1658"/>
      <c r="BX488" s="1658"/>
      <c r="BY488" s="1658"/>
      <c r="BZ488" s="1658"/>
      <c r="CA488" s="1658"/>
      <c r="CB488" s="1658"/>
      <c r="CC488" s="1658"/>
      <c r="CD488" s="1658"/>
      <c r="CE488" s="1658"/>
      <c r="CF488" s="1658"/>
      <c r="CG488" s="1658"/>
      <c r="CH488" s="1658"/>
      <c r="CI488" s="1658"/>
      <c r="CJ488" s="1658"/>
      <c r="CK488" s="1658"/>
      <c r="CL488" s="1658"/>
      <c r="CM488" s="1658"/>
      <c r="CN488" s="1658"/>
      <c r="CO488" s="1658"/>
      <c r="CP488" s="1658"/>
      <c r="CQ488" s="1658"/>
      <c r="CR488" s="1658"/>
      <c r="CS488" s="1658"/>
      <c r="CT488" s="1658"/>
      <c r="CU488" s="1658"/>
      <c r="CV488" s="1658"/>
      <c r="CW488" s="1658"/>
      <c r="CX488" s="1658"/>
      <c r="CY488" s="1658"/>
      <c r="CZ488" s="1658"/>
      <c r="DA488" s="1658"/>
      <c r="DB488" s="1658"/>
      <c r="DC488" s="1658"/>
      <c r="DD488" s="1658"/>
      <c r="DE488" s="1658"/>
      <c r="DF488" s="1658"/>
      <c r="DG488" s="1658"/>
      <c r="DH488" s="1658"/>
      <c r="DI488" s="1658"/>
      <c r="DJ488" s="1658"/>
      <c r="DK488" s="1658"/>
      <c r="DL488" s="1658"/>
      <c r="DM488" s="1658"/>
      <c r="DN488" s="1658"/>
      <c r="DO488" s="1658"/>
      <c r="DP488" s="1658"/>
      <c r="DQ488" s="1658"/>
      <c r="DR488" s="1658"/>
      <c r="DS488" s="1658"/>
      <c r="DT488" s="1658"/>
      <c r="DU488" s="1658"/>
      <c r="DV488" s="1658"/>
      <c r="DW488" s="1658"/>
      <c r="DX488" s="1658"/>
      <c r="DY488" s="1658"/>
      <c r="DZ488" s="1658"/>
      <c r="EA488" s="1658"/>
      <c r="EB488" s="1658"/>
      <c r="EC488" s="1658"/>
      <c r="ED488" s="1658"/>
      <c r="EE488" s="1658"/>
      <c r="EF488" s="1658"/>
      <c r="EG488" s="1658"/>
      <c r="EH488" s="1658"/>
      <c r="EI488" s="1658"/>
      <c r="EJ488" s="1658"/>
      <c r="EK488" s="1658"/>
      <c r="EL488" s="1658"/>
      <c r="EM488" s="1658"/>
      <c r="EN488" s="1658"/>
      <c r="EO488" s="1658"/>
      <c r="EP488" s="1658"/>
      <c r="EQ488" s="1658"/>
      <c r="ER488" s="1658"/>
      <c r="ES488" s="1658"/>
      <c r="ET488" s="1658"/>
      <c r="EU488" s="1658"/>
      <c r="EV488" s="1658"/>
      <c r="EW488" s="1658"/>
      <c r="EX488" s="1658"/>
      <c r="EY488" s="1658"/>
      <c r="EZ488" s="1658"/>
      <c r="FA488" s="1658"/>
      <c r="FB488" s="1658"/>
      <c r="FC488" s="1658"/>
      <c r="FD488" s="1658"/>
      <c r="FE488" s="1658"/>
      <c r="FF488" s="1658"/>
      <c r="FG488" s="1658"/>
      <c r="FH488" s="1658"/>
      <c r="FI488" s="1658"/>
      <c r="FJ488" s="1658"/>
      <c r="FK488" s="1658"/>
      <c r="FL488" s="1658"/>
      <c r="FM488" s="1658"/>
      <c r="FN488" s="1658"/>
      <c r="FO488" s="1658"/>
      <c r="FP488" s="1658"/>
      <c r="FQ488" s="1658"/>
      <c r="FR488" s="1658"/>
      <c r="FS488" s="1658"/>
      <c r="FT488" s="1658"/>
      <c r="FU488" s="1658"/>
      <c r="FV488" s="1658"/>
      <c r="FW488" s="1658"/>
      <c r="FX488" s="1658"/>
      <c r="FY488" s="1658"/>
      <c r="FZ488" s="1658"/>
      <c r="GA488" s="1658"/>
      <c r="GB488" s="1658"/>
      <c r="GC488" s="1658"/>
      <c r="GD488" s="1658"/>
      <c r="GE488" s="1658"/>
      <c r="GF488" s="1658"/>
      <c r="GG488" s="1658"/>
      <c r="GH488" s="1658"/>
      <c r="GI488" s="1658"/>
      <c r="GJ488" s="1658"/>
      <c r="GK488" s="1658"/>
      <c r="GL488" s="1658"/>
      <c r="GM488" s="1658"/>
      <c r="GN488" s="1658"/>
      <c r="GO488" s="1658"/>
      <c r="GP488" s="1658"/>
      <c r="GQ488" s="1658"/>
      <c r="GR488" s="1658"/>
      <c r="GS488" s="1658"/>
      <c r="GT488" s="1658"/>
      <c r="GU488" s="1658"/>
      <c r="GV488" s="1658"/>
      <c r="GW488" s="1658"/>
      <c r="GX488" s="1658"/>
      <c r="GY488" s="1658"/>
      <c r="GZ488" s="1658"/>
      <c r="HA488" s="1658"/>
      <c r="HB488" s="1658"/>
      <c r="HC488" s="1658"/>
      <c r="HD488" s="1658"/>
      <c r="HE488" s="1658"/>
      <c r="HF488" s="1658"/>
      <c r="HG488" s="1658"/>
      <c r="HH488" s="1658"/>
      <c r="HI488" s="1658"/>
      <c r="HJ488" s="1658"/>
      <c r="HK488" s="1658"/>
      <c r="HL488" s="1658"/>
      <c r="HM488" s="1658"/>
      <c r="HN488" s="1658"/>
      <c r="HO488" s="1658"/>
      <c r="HP488" s="1658"/>
      <c r="HQ488" s="1658"/>
      <c r="HR488" s="1658"/>
      <c r="HS488" s="1658"/>
      <c r="HT488" s="1658"/>
      <c r="HU488" s="1658"/>
      <c r="HV488" s="1658"/>
      <c r="HW488" s="1658"/>
      <c r="HX488" s="1658"/>
      <c r="HY488" s="1658"/>
      <c r="HZ488" s="1658"/>
      <c r="IA488" s="1658"/>
      <c r="IB488" s="1658"/>
      <c r="IC488" s="1658"/>
      <c r="ID488" s="1658"/>
      <c r="IE488" s="1658"/>
      <c r="IF488" s="1658"/>
      <c r="IG488" s="1658"/>
      <c r="IH488" s="1658"/>
      <c r="II488" s="1658"/>
      <c r="IJ488" s="1658"/>
      <c r="IK488" s="1658"/>
      <c r="IL488" s="1658"/>
      <c r="IM488" s="1658"/>
      <c r="IN488" s="1658"/>
      <c r="IO488" s="1658"/>
      <c r="IP488" s="1658"/>
      <c r="IQ488" s="1658"/>
      <c r="IR488" s="1658"/>
      <c r="IS488" s="1658"/>
      <c r="IT488" s="1658"/>
      <c r="IU488" s="1658"/>
      <c r="IV488" s="1658"/>
      <c r="IW488" s="1658"/>
      <c r="IX488" s="1658"/>
      <c r="IY488" s="1658"/>
      <c r="IZ488" s="1658"/>
      <c r="JA488" s="1658"/>
      <c r="JB488" s="1658"/>
      <c r="JC488" s="1658"/>
      <c r="JD488" s="1658"/>
      <c r="JE488" s="1658"/>
      <c r="JF488" s="1658"/>
      <c r="JG488" s="1658"/>
      <c r="JH488" s="1658"/>
      <c r="JI488" s="1658"/>
      <c r="JJ488" s="1658"/>
      <c r="JK488" s="1658"/>
      <c r="JL488" s="1658"/>
      <c r="JM488" s="1658"/>
      <c r="JN488" s="1658"/>
      <c r="JO488" s="1658"/>
      <c r="JP488" s="1658"/>
      <c r="JQ488" s="1658"/>
      <c r="JR488" s="1658"/>
      <c r="JS488" s="1658"/>
      <c r="JT488" s="1658"/>
      <c r="JU488" s="1658"/>
      <c r="JV488" s="1658"/>
      <c r="JW488" s="1658"/>
      <c r="JX488" s="1658"/>
      <c r="JY488" s="1658"/>
      <c r="JZ488" s="1658"/>
      <c r="KA488" s="1658"/>
      <c r="KB488" s="1658"/>
      <c r="KC488" s="1658"/>
      <c r="KD488" s="1658"/>
      <c r="KE488" s="1658"/>
      <c r="KF488" s="1658"/>
      <c r="KG488" s="1658"/>
      <c r="KH488" s="1658"/>
      <c r="KI488" s="1658"/>
      <c r="KJ488" s="1658"/>
      <c r="KK488" s="1658"/>
      <c r="KL488" s="1658"/>
      <c r="KM488" s="1658"/>
      <c r="KN488" s="1658"/>
      <c r="KO488" s="1658"/>
      <c r="KP488" s="1658"/>
      <c r="KQ488" s="1658"/>
      <c r="KR488" s="1658"/>
      <c r="KS488" s="1658"/>
      <c r="KT488" s="1658"/>
      <c r="KU488" s="1658"/>
      <c r="KV488" s="1658"/>
      <c r="KW488" s="1658"/>
      <c r="KX488" s="1658"/>
      <c r="KY488" s="1658"/>
      <c r="KZ488" s="1658"/>
      <c r="LA488" s="1658"/>
      <c r="LB488" s="1658"/>
      <c r="LC488" s="1658"/>
      <c r="LD488" s="1658"/>
      <c r="LE488" s="1658"/>
      <c r="LF488" s="1658"/>
      <c r="LG488" s="1658"/>
      <c r="LH488" s="1658"/>
      <c r="LI488" s="1658"/>
      <c r="LJ488" s="1658"/>
      <c r="LK488" s="1658"/>
      <c r="LL488" s="1658"/>
      <c r="LM488" s="1658"/>
      <c r="LN488" s="1658"/>
      <c r="LO488" s="1658"/>
      <c r="LP488" s="1658"/>
      <c r="LQ488" s="1658"/>
      <c r="LR488" s="1658"/>
      <c r="LS488" s="1658"/>
      <c r="LT488" s="1658"/>
      <c r="LU488" s="1658"/>
      <c r="LV488" s="1658"/>
      <c r="LW488" s="1658"/>
      <c r="LX488" s="1658"/>
      <c r="LY488" s="1658"/>
      <c r="LZ488" s="1658"/>
      <c r="MA488" s="1658"/>
      <c r="MB488" s="1658"/>
      <c r="MC488" s="1658"/>
      <c r="MD488" s="1658"/>
      <c r="ME488" s="1658"/>
      <c r="NP488" s="356" t="s">
        <v>4343</v>
      </c>
    </row>
    <row r="489" spans="1:380" ht="6.95" customHeight="1">
      <c r="A489" s="2561" t="s">
        <v>5082</v>
      </c>
      <c r="B489" s="2505"/>
      <c r="C489" s="2505"/>
      <c r="D489" s="2505"/>
      <c r="E489" s="2505"/>
      <c r="F489" s="2505"/>
      <c r="G489" s="2505"/>
      <c r="H489" s="2505"/>
      <c r="I489" s="2505"/>
      <c r="J489" s="2505"/>
      <c r="K489" s="2505"/>
      <c r="L489" s="2505"/>
      <c r="M489" s="2505"/>
      <c r="N489" s="2505"/>
      <c r="O489" s="2505"/>
      <c r="P489" s="2505"/>
      <c r="Q489" s="2505"/>
      <c r="R489" s="2592"/>
      <c r="S489" s="358"/>
      <c r="T489" s="358"/>
      <c r="U489" s="358"/>
      <c r="V489" s="358"/>
      <c r="W489" s="1658"/>
      <c r="X489" s="1658"/>
      <c r="Y489" s="1658"/>
      <c r="Z489" s="1658"/>
      <c r="AA489" s="1658"/>
      <c r="AB489" s="1658"/>
      <c r="AC489" s="1658"/>
      <c r="AD489" s="1658"/>
      <c r="AE489" s="1658"/>
      <c r="AF489" s="1658"/>
      <c r="AG489" s="1658"/>
      <c r="AH489" s="1658"/>
      <c r="AI489" s="1658"/>
      <c r="AJ489" s="1658"/>
      <c r="AK489" s="1658"/>
      <c r="AL489" s="1658"/>
      <c r="AM489" s="1658"/>
      <c r="AN489" s="1658"/>
      <c r="AO489" s="1658"/>
      <c r="AP489" s="1658"/>
      <c r="AQ489" s="1658"/>
      <c r="AR489" s="1658"/>
      <c r="AS489" s="1658"/>
      <c r="AT489" s="1658"/>
      <c r="AU489" s="1658"/>
      <c r="AV489" s="1658"/>
      <c r="AW489" s="1658"/>
      <c r="AX489" s="1658"/>
      <c r="AY489" s="1658"/>
      <c r="AZ489" s="1658"/>
      <c r="BA489" s="1658"/>
      <c r="BB489" s="1658"/>
      <c r="BC489" s="1658"/>
      <c r="BD489" s="1658"/>
      <c r="BE489" s="1658"/>
      <c r="BF489" s="1658"/>
      <c r="BG489" s="1658"/>
      <c r="BH489" s="1658"/>
      <c r="BI489" s="1658"/>
      <c r="BJ489" s="1658"/>
      <c r="BK489" s="1658"/>
      <c r="BL489" s="1658"/>
      <c r="BM489" s="1658"/>
      <c r="BN489" s="1658"/>
      <c r="BO489" s="1658"/>
      <c r="BP489" s="1658"/>
      <c r="BQ489" s="1658"/>
      <c r="BR489" s="1658"/>
      <c r="BS489" s="1658"/>
      <c r="BT489" s="1658"/>
      <c r="BU489" s="1658"/>
      <c r="BV489" s="1658"/>
      <c r="BW489" s="1658"/>
      <c r="BX489" s="1658"/>
      <c r="BY489" s="1658"/>
      <c r="BZ489" s="1658"/>
      <c r="CA489" s="1658"/>
      <c r="CB489" s="1658"/>
      <c r="CC489" s="1658"/>
      <c r="CD489" s="1658"/>
      <c r="CE489" s="1658"/>
      <c r="CF489" s="1658"/>
      <c r="CG489" s="1658"/>
      <c r="CH489" s="1658"/>
      <c r="CI489" s="1658"/>
      <c r="CJ489" s="1658"/>
      <c r="CK489" s="1658"/>
      <c r="CL489" s="1658"/>
      <c r="CM489" s="1658"/>
      <c r="CN489" s="1658"/>
      <c r="CO489" s="1658"/>
      <c r="CP489" s="1658"/>
      <c r="CQ489" s="1658"/>
      <c r="CR489" s="1658"/>
      <c r="CS489" s="1658"/>
      <c r="CT489" s="1658"/>
      <c r="CU489" s="1658"/>
      <c r="CV489" s="1658"/>
      <c r="CW489" s="1658"/>
      <c r="CX489" s="1658"/>
      <c r="CY489" s="1658"/>
      <c r="CZ489" s="1658"/>
      <c r="DA489" s="1658"/>
      <c r="DB489" s="1658"/>
      <c r="DC489" s="1658"/>
      <c r="DD489" s="1658"/>
      <c r="DE489" s="1658"/>
      <c r="DF489" s="1658"/>
      <c r="DG489" s="1658"/>
      <c r="DH489" s="1658"/>
      <c r="DI489" s="1658"/>
      <c r="DJ489" s="1658"/>
      <c r="DK489" s="1658"/>
      <c r="DL489" s="1658"/>
      <c r="DM489" s="1658"/>
      <c r="DN489" s="1658"/>
      <c r="DO489" s="1658"/>
      <c r="DP489" s="1658"/>
      <c r="DQ489" s="1658"/>
      <c r="DR489" s="1658"/>
      <c r="DS489" s="1658"/>
      <c r="DT489" s="1658"/>
      <c r="DU489" s="1658"/>
      <c r="DV489" s="1658"/>
      <c r="DW489" s="1658"/>
      <c r="DX489" s="1658"/>
      <c r="DY489" s="1658"/>
      <c r="DZ489" s="1658"/>
      <c r="EA489" s="1658"/>
      <c r="EB489" s="1658"/>
      <c r="EC489" s="1658"/>
      <c r="ED489" s="1658"/>
      <c r="EE489" s="1658"/>
      <c r="EF489" s="1658"/>
      <c r="EG489" s="1658"/>
      <c r="EH489" s="1658"/>
      <c r="EI489" s="1658"/>
      <c r="EJ489" s="1658"/>
      <c r="EK489" s="1658"/>
      <c r="EL489" s="1658"/>
      <c r="EM489" s="1658"/>
      <c r="EN489" s="1658"/>
      <c r="EO489" s="1658"/>
      <c r="EP489" s="1658"/>
      <c r="EQ489" s="1658"/>
      <c r="ER489" s="1658"/>
      <c r="ES489" s="1658"/>
      <c r="ET489" s="1658"/>
      <c r="EU489" s="1658"/>
      <c r="EV489" s="1658"/>
      <c r="EW489" s="1658"/>
      <c r="EX489" s="1658"/>
      <c r="EY489" s="1658"/>
      <c r="EZ489" s="1658"/>
      <c r="FA489" s="1658"/>
      <c r="FB489" s="1658"/>
      <c r="FC489" s="1658"/>
      <c r="FD489" s="1658"/>
      <c r="FE489" s="1658"/>
      <c r="FF489" s="1658"/>
      <c r="FG489" s="1658"/>
      <c r="FH489" s="1658"/>
      <c r="FI489" s="1658"/>
      <c r="FJ489" s="1658"/>
      <c r="FK489" s="1658"/>
      <c r="FL489" s="1658"/>
      <c r="FM489" s="1658"/>
      <c r="FN489" s="1658"/>
      <c r="FO489" s="1658"/>
      <c r="FP489" s="1658"/>
      <c r="FQ489" s="1658"/>
      <c r="FR489" s="1658"/>
      <c r="FS489" s="1658"/>
      <c r="FT489" s="1658"/>
      <c r="FU489" s="1658"/>
      <c r="FV489" s="1658"/>
      <c r="FW489" s="1658"/>
      <c r="FX489" s="1658"/>
      <c r="FY489" s="1658"/>
      <c r="FZ489" s="1658"/>
      <c r="GA489" s="1658"/>
      <c r="GB489" s="1658"/>
      <c r="GC489" s="1658"/>
      <c r="GD489" s="1658"/>
      <c r="GE489" s="1658"/>
      <c r="GF489" s="1658"/>
      <c r="GG489" s="1658"/>
      <c r="GH489" s="1658"/>
      <c r="GI489" s="1658"/>
      <c r="GJ489" s="1658"/>
      <c r="GK489" s="1658"/>
      <c r="GL489" s="1658"/>
      <c r="GM489" s="1658"/>
      <c r="GN489" s="1658"/>
      <c r="GO489" s="1658"/>
      <c r="GP489" s="1658"/>
      <c r="GQ489" s="1658"/>
      <c r="GR489" s="1658"/>
      <c r="GS489" s="1658"/>
      <c r="GT489" s="1658"/>
      <c r="GU489" s="1658"/>
      <c r="GV489" s="1658"/>
      <c r="GW489" s="1658"/>
      <c r="GX489" s="1658"/>
      <c r="GY489" s="1658"/>
      <c r="GZ489" s="1658"/>
      <c r="HA489" s="1658"/>
      <c r="HB489" s="1658"/>
      <c r="HC489" s="1658"/>
      <c r="HD489" s="1658"/>
      <c r="HE489" s="1658"/>
      <c r="HF489" s="1658"/>
      <c r="HG489" s="1658"/>
      <c r="HH489" s="1658"/>
      <c r="HI489" s="1658"/>
      <c r="HJ489" s="1658"/>
      <c r="HK489" s="1658"/>
      <c r="HL489" s="1658"/>
      <c r="HM489" s="1658"/>
      <c r="HN489" s="1658"/>
      <c r="HO489" s="1658"/>
      <c r="HP489" s="1658"/>
      <c r="HQ489" s="1658"/>
      <c r="HR489" s="1658"/>
      <c r="HS489" s="1658"/>
      <c r="HT489" s="1658"/>
      <c r="HU489" s="1658"/>
      <c r="HV489" s="1658"/>
      <c r="HW489" s="1658"/>
      <c r="HX489" s="1658"/>
      <c r="HY489" s="1658"/>
      <c r="HZ489" s="1658"/>
      <c r="IA489" s="1658"/>
      <c r="IB489" s="1658"/>
      <c r="IC489" s="1658"/>
      <c r="ID489" s="1658"/>
      <c r="IE489" s="1658"/>
      <c r="IF489" s="1658"/>
      <c r="IG489" s="1658"/>
      <c r="IH489" s="1658"/>
      <c r="II489" s="1658"/>
      <c r="IJ489" s="1658"/>
      <c r="IK489" s="1658"/>
      <c r="IL489" s="1658"/>
      <c r="IM489" s="1658"/>
      <c r="IN489" s="1658"/>
      <c r="IO489" s="1658"/>
      <c r="IP489" s="1658"/>
      <c r="IQ489" s="1658"/>
      <c r="IR489" s="1658"/>
      <c r="IS489" s="1658"/>
      <c r="IT489" s="1658"/>
      <c r="IU489" s="1658"/>
      <c r="IV489" s="1658"/>
      <c r="IW489" s="1658"/>
      <c r="IX489" s="1658"/>
      <c r="IY489" s="1658"/>
      <c r="IZ489" s="1658"/>
      <c r="JA489" s="1658"/>
      <c r="JB489" s="1658"/>
      <c r="JC489" s="1658"/>
      <c r="JD489" s="1658"/>
      <c r="JE489" s="1658"/>
      <c r="JF489" s="1658"/>
      <c r="JG489" s="1658"/>
      <c r="JH489" s="1658"/>
      <c r="JI489" s="1658"/>
      <c r="JJ489" s="1658"/>
      <c r="JK489" s="1658"/>
      <c r="JL489" s="1658"/>
      <c r="JM489" s="1658"/>
      <c r="JN489" s="1658"/>
      <c r="JO489" s="1658"/>
      <c r="JP489" s="1658"/>
      <c r="JQ489" s="1658"/>
      <c r="JR489" s="1658"/>
      <c r="JS489" s="1658"/>
      <c r="JT489" s="1658"/>
      <c r="JU489" s="1658"/>
      <c r="JV489" s="1658"/>
      <c r="JW489" s="1658"/>
      <c r="JX489" s="1658"/>
      <c r="JY489" s="1658"/>
      <c r="JZ489" s="1658"/>
      <c r="KA489" s="1658"/>
      <c r="KB489" s="1658"/>
      <c r="KC489" s="1658"/>
      <c r="KD489" s="1658"/>
      <c r="KE489" s="1658"/>
      <c r="KF489" s="1658"/>
      <c r="KG489" s="1658"/>
      <c r="KH489" s="1658"/>
      <c r="KI489" s="1658"/>
      <c r="KJ489" s="1658"/>
      <c r="KK489" s="1658"/>
      <c r="KL489" s="1658"/>
      <c r="KM489" s="1658"/>
      <c r="KN489" s="1658"/>
      <c r="KO489" s="1658"/>
      <c r="KP489" s="1658"/>
      <c r="KQ489" s="1658"/>
      <c r="KR489" s="1658"/>
      <c r="KS489" s="1658"/>
      <c r="KT489" s="1658"/>
      <c r="KU489" s="1658"/>
      <c r="KV489" s="1658"/>
      <c r="KW489" s="1658"/>
      <c r="KX489" s="1658"/>
      <c r="KY489" s="1658"/>
      <c r="KZ489" s="1658"/>
      <c r="LA489" s="1658"/>
      <c r="LB489" s="1658"/>
      <c r="LC489" s="1658"/>
      <c r="LD489" s="1658"/>
      <c r="LE489" s="1658"/>
      <c r="LF489" s="1658"/>
      <c r="LG489" s="1658"/>
      <c r="LH489" s="1658"/>
      <c r="LI489" s="1658"/>
      <c r="LJ489" s="1658"/>
      <c r="LK489" s="1658"/>
      <c r="LL489" s="1658"/>
      <c r="LM489" s="1658"/>
      <c r="LN489" s="1658"/>
      <c r="LO489" s="1658"/>
      <c r="LP489" s="1658"/>
      <c r="LQ489" s="1658"/>
      <c r="LR489" s="1658"/>
      <c r="LS489" s="1658"/>
      <c r="LT489" s="1658"/>
      <c r="LU489" s="1658"/>
      <c r="LV489" s="1658"/>
      <c r="LW489" s="1658"/>
      <c r="LX489" s="1658"/>
      <c r="LY489" s="1658"/>
      <c r="LZ489" s="1658"/>
      <c r="MA489" s="1658"/>
      <c r="MB489" s="1658"/>
      <c r="MC489" s="1658"/>
      <c r="MD489" s="1658"/>
      <c r="ME489" s="1658"/>
    </row>
    <row r="490" spans="1:380" ht="7.5" customHeight="1">
      <c r="A490" s="2505"/>
      <c r="B490" s="2505"/>
      <c r="C490" s="2505"/>
      <c r="D490" s="2505"/>
      <c r="E490" s="2505"/>
      <c r="F490" s="2505"/>
      <c r="G490" s="2505"/>
      <c r="H490" s="2505"/>
      <c r="I490" s="2505"/>
      <c r="J490" s="2505"/>
      <c r="K490" s="2505"/>
      <c r="L490" s="2505"/>
      <c r="M490" s="2505"/>
      <c r="N490" s="2505"/>
      <c r="O490" s="2505"/>
      <c r="P490" s="2505"/>
      <c r="Q490" s="2505"/>
      <c r="R490" s="2592"/>
      <c r="S490" s="358"/>
      <c r="T490" s="358"/>
      <c r="U490" s="358"/>
      <c r="V490" s="358"/>
      <c r="W490" s="1658"/>
      <c r="X490" s="1658"/>
      <c r="Y490" s="1658"/>
      <c r="Z490" s="1658"/>
      <c r="AA490" s="1658"/>
      <c r="AB490" s="1658"/>
      <c r="AC490" s="1658"/>
      <c r="AD490" s="1658"/>
      <c r="AE490" s="1658"/>
      <c r="AF490" s="1658"/>
      <c r="AG490" s="1658"/>
      <c r="AH490" s="1658"/>
      <c r="AI490" s="1658"/>
      <c r="AJ490" s="1658"/>
      <c r="AK490" s="1658"/>
      <c r="AL490" s="1658"/>
      <c r="AM490" s="1658"/>
      <c r="AN490" s="1658"/>
      <c r="AO490" s="1658"/>
      <c r="AP490" s="1658"/>
      <c r="AQ490" s="1658"/>
      <c r="AR490" s="1658"/>
      <c r="AS490" s="1658"/>
      <c r="AT490" s="1658"/>
      <c r="AU490" s="1658"/>
      <c r="AV490" s="1658"/>
      <c r="AW490" s="1658"/>
      <c r="AX490" s="1658"/>
      <c r="AY490" s="1658"/>
      <c r="AZ490" s="1658"/>
      <c r="BA490" s="1658"/>
      <c r="BB490" s="1658"/>
      <c r="BC490" s="1658"/>
      <c r="BD490" s="1658"/>
      <c r="BE490" s="1658"/>
      <c r="BF490" s="1658"/>
      <c r="BG490" s="1658"/>
      <c r="BH490" s="1658"/>
      <c r="BI490" s="1658"/>
      <c r="BJ490" s="1658"/>
      <c r="BK490" s="1658"/>
      <c r="BL490" s="1658"/>
      <c r="BM490" s="1658"/>
      <c r="BN490" s="1658"/>
      <c r="BO490" s="1658"/>
      <c r="BP490" s="1658"/>
      <c r="BQ490" s="1658"/>
      <c r="BR490" s="1658"/>
      <c r="BS490" s="1658"/>
      <c r="BT490" s="1658"/>
      <c r="BU490" s="1658"/>
      <c r="BV490" s="1658"/>
      <c r="BW490" s="1658"/>
      <c r="BX490" s="1658"/>
      <c r="BY490" s="1658"/>
      <c r="BZ490" s="1658"/>
      <c r="CA490" s="1658"/>
      <c r="CB490" s="1658"/>
      <c r="CC490" s="1658"/>
      <c r="CD490" s="1658"/>
      <c r="CE490" s="1658"/>
      <c r="CF490" s="1658"/>
      <c r="CG490" s="1658"/>
      <c r="CH490" s="1658"/>
      <c r="CI490" s="1658"/>
      <c r="CJ490" s="1658"/>
      <c r="CK490" s="1658"/>
      <c r="CL490" s="1658"/>
      <c r="CM490" s="1658"/>
      <c r="CN490" s="1658"/>
      <c r="CO490" s="1658"/>
      <c r="CP490" s="1658"/>
      <c r="CQ490" s="1658"/>
      <c r="CR490" s="1658"/>
      <c r="CS490" s="1658"/>
      <c r="CT490" s="1658"/>
      <c r="CU490" s="1658"/>
      <c r="CV490" s="1658"/>
      <c r="CW490" s="1658"/>
      <c r="CX490" s="1658"/>
      <c r="CY490" s="1658"/>
      <c r="CZ490" s="1658"/>
      <c r="DA490" s="1658"/>
      <c r="DB490" s="1658"/>
      <c r="DC490" s="1658"/>
      <c r="DD490" s="1658"/>
      <c r="DE490" s="1658"/>
      <c r="DF490" s="1658"/>
      <c r="DG490" s="1658"/>
      <c r="DH490" s="1658"/>
      <c r="DI490" s="1658"/>
      <c r="DJ490" s="1658"/>
      <c r="DK490" s="1658"/>
      <c r="DL490" s="1658"/>
      <c r="DM490" s="1658"/>
      <c r="DN490" s="1658"/>
      <c r="DO490" s="1658"/>
      <c r="DP490" s="1658"/>
      <c r="DQ490" s="1658"/>
      <c r="DR490" s="1658"/>
      <c r="DS490" s="1658"/>
      <c r="DT490" s="1658"/>
      <c r="DU490" s="1658"/>
      <c r="DV490" s="1658"/>
      <c r="DW490" s="1658"/>
      <c r="DX490" s="1658"/>
      <c r="DY490" s="1658"/>
      <c r="DZ490" s="1658"/>
      <c r="EA490" s="1658"/>
      <c r="EB490" s="1658"/>
      <c r="EC490" s="1658"/>
      <c r="ED490" s="1658"/>
      <c r="EE490" s="1658"/>
      <c r="EF490" s="1658"/>
      <c r="EG490" s="1658"/>
      <c r="EH490" s="1658"/>
      <c r="EI490" s="1658"/>
      <c r="EJ490" s="1658"/>
      <c r="EK490" s="1658"/>
      <c r="EL490" s="1658"/>
      <c r="EM490" s="1658"/>
      <c r="EN490" s="1658"/>
      <c r="EO490" s="1658"/>
      <c r="EP490" s="1658"/>
      <c r="EQ490" s="1658"/>
      <c r="ER490" s="1658"/>
      <c r="ES490" s="1658"/>
      <c r="ET490" s="1658"/>
      <c r="EU490" s="1658"/>
      <c r="EV490" s="1658"/>
      <c r="EW490" s="1658"/>
      <c r="EX490" s="1658"/>
      <c r="EY490" s="1658"/>
      <c r="EZ490" s="1658"/>
      <c r="FA490" s="1658"/>
      <c r="FB490" s="1658"/>
      <c r="FC490" s="1658"/>
      <c r="FD490" s="1658"/>
      <c r="FE490" s="1658"/>
      <c r="FF490" s="1658"/>
      <c r="FG490" s="1658"/>
      <c r="FH490" s="1658"/>
      <c r="FI490" s="1658"/>
      <c r="FJ490" s="1658"/>
      <c r="FK490" s="1658"/>
      <c r="FL490" s="1658"/>
      <c r="FM490" s="1658"/>
      <c r="FN490" s="1658"/>
      <c r="FO490" s="1658"/>
      <c r="FP490" s="1658"/>
      <c r="FQ490" s="1658"/>
      <c r="FR490" s="1658"/>
      <c r="FS490" s="1658"/>
      <c r="FT490" s="1658"/>
      <c r="FU490" s="1658"/>
      <c r="FV490" s="1658"/>
      <c r="FW490" s="1658"/>
      <c r="FX490" s="1658"/>
      <c r="FY490" s="1658"/>
      <c r="FZ490" s="1658"/>
      <c r="GA490" s="1658"/>
      <c r="GB490" s="1658"/>
      <c r="GC490" s="1658"/>
      <c r="GD490" s="1658"/>
      <c r="GE490" s="1658"/>
      <c r="GF490" s="1658"/>
      <c r="GG490" s="1658"/>
      <c r="GH490" s="1658"/>
      <c r="GI490" s="1658"/>
      <c r="GJ490" s="1658"/>
      <c r="GK490" s="1658"/>
      <c r="GL490" s="1658"/>
      <c r="GM490" s="1658"/>
      <c r="GN490" s="1658"/>
      <c r="GO490" s="1658"/>
      <c r="GP490" s="1658"/>
      <c r="GQ490" s="1658"/>
      <c r="GR490" s="1658"/>
      <c r="GS490" s="1658"/>
      <c r="GT490" s="1658"/>
      <c r="GU490" s="1658"/>
      <c r="GV490" s="1658"/>
      <c r="GW490" s="1658"/>
      <c r="GX490" s="1658"/>
      <c r="GY490" s="1658"/>
      <c r="GZ490" s="1658"/>
      <c r="HA490" s="1658"/>
      <c r="HB490" s="1658"/>
      <c r="HC490" s="1658"/>
      <c r="HD490" s="1658"/>
      <c r="HE490" s="1658"/>
      <c r="HF490" s="1658"/>
      <c r="HG490" s="1658"/>
      <c r="HH490" s="1658"/>
      <c r="HI490" s="1658"/>
      <c r="HJ490" s="1658"/>
      <c r="HK490" s="1658"/>
      <c r="HL490" s="1658"/>
      <c r="HM490" s="1658"/>
      <c r="HN490" s="1658"/>
      <c r="HO490" s="1658"/>
      <c r="HP490" s="1658"/>
      <c r="HQ490" s="1658"/>
      <c r="HR490" s="1658"/>
      <c r="HS490" s="1658"/>
      <c r="HT490" s="1658"/>
      <c r="HU490" s="1658"/>
      <c r="HV490" s="1658"/>
      <c r="HW490" s="1658"/>
      <c r="HX490" s="1658"/>
      <c r="HY490" s="1658"/>
      <c r="HZ490" s="1658"/>
      <c r="IA490" s="1658"/>
      <c r="IB490" s="1658"/>
      <c r="IC490" s="1658"/>
      <c r="ID490" s="1658"/>
      <c r="IE490" s="1658"/>
      <c r="IF490" s="1658"/>
      <c r="IG490" s="1658"/>
      <c r="IH490" s="1658"/>
      <c r="II490" s="1658"/>
      <c r="IJ490" s="1658"/>
      <c r="IK490" s="1658"/>
      <c r="IL490" s="1658"/>
      <c r="IM490" s="1658"/>
      <c r="IN490" s="1658"/>
      <c r="IO490" s="1658"/>
      <c r="IP490" s="1658"/>
      <c r="IQ490" s="1658"/>
      <c r="IR490" s="1658"/>
      <c r="IS490" s="1658"/>
      <c r="IT490" s="1658"/>
      <c r="IU490" s="1658"/>
      <c r="IV490" s="1658"/>
      <c r="IW490" s="1658"/>
      <c r="IX490" s="1658"/>
      <c r="IY490" s="1658"/>
      <c r="IZ490" s="1658"/>
      <c r="JA490" s="1658"/>
      <c r="JB490" s="1658"/>
      <c r="JC490" s="1658"/>
      <c r="JD490" s="1658"/>
      <c r="JE490" s="1658"/>
      <c r="JF490" s="1658"/>
      <c r="JG490" s="1658"/>
      <c r="JH490" s="1658"/>
      <c r="JI490" s="1658"/>
      <c r="JJ490" s="1658"/>
      <c r="JK490" s="1658"/>
      <c r="JL490" s="1658"/>
      <c r="JM490" s="1658"/>
      <c r="JN490" s="1658"/>
      <c r="JO490" s="1658"/>
      <c r="JP490" s="1658"/>
      <c r="JQ490" s="1658"/>
      <c r="JR490" s="1658"/>
      <c r="JS490" s="1658"/>
      <c r="JT490" s="1658"/>
      <c r="JU490" s="1658"/>
      <c r="JV490" s="1658"/>
      <c r="JW490" s="1658"/>
      <c r="JX490" s="1658"/>
      <c r="JY490" s="1658"/>
      <c r="JZ490" s="1658"/>
      <c r="KA490" s="1658"/>
      <c r="KB490" s="1658"/>
      <c r="KC490" s="1658"/>
      <c r="KD490" s="1658"/>
      <c r="KE490" s="1658"/>
      <c r="KF490" s="1658"/>
      <c r="KG490" s="1658"/>
      <c r="KH490" s="1658"/>
      <c r="KI490" s="1658"/>
      <c r="KJ490" s="1658"/>
      <c r="KK490" s="1658"/>
      <c r="KL490" s="1658"/>
      <c r="KM490" s="1658"/>
      <c r="KN490" s="1658"/>
      <c r="KO490" s="1658"/>
      <c r="KP490" s="1658"/>
      <c r="KQ490" s="1658"/>
      <c r="KR490" s="1658"/>
      <c r="KS490" s="1658"/>
      <c r="KT490" s="1658"/>
      <c r="KU490" s="1658"/>
      <c r="KV490" s="1658"/>
      <c r="KW490" s="1658"/>
      <c r="KX490" s="1658"/>
      <c r="KY490" s="1658"/>
      <c r="KZ490" s="1658"/>
      <c r="LA490" s="1658"/>
      <c r="LB490" s="1658"/>
      <c r="LC490" s="1658"/>
      <c r="LD490" s="1658"/>
      <c r="LE490" s="1658"/>
      <c r="LF490" s="1658"/>
      <c r="LG490" s="1658"/>
      <c r="LH490" s="1658"/>
      <c r="LI490" s="1658"/>
      <c r="LJ490" s="1658"/>
      <c r="LK490" s="1658"/>
      <c r="LL490" s="1658"/>
      <c r="LM490" s="1658"/>
      <c r="LN490" s="1658"/>
      <c r="LO490" s="1658"/>
      <c r="LP490" s="1658"/>
      <c r="LQ490" s="1658"/>
      <c r="LR490" s="1658"/>
      <c r="LS490" s="1658"/>
      <c r="LT490" s="1658"/>
      <c r="LU490" s="1658"/>
      <c r="LV490" s="1658"/>
      <c r="LW490" s="1658"/>
      <c r="LX490" s="1658"/>
      <c r="LY490" s="1658"/>
      <c r="LZ490" s="1658"/>
      <c r="MA490" s="1658"/>
      <c r="MB490" s="1658"/>
      <c r="MC490" s="1658"/>
      <c r="MD490" s="1658"/>
      <c r="ME490" s="1658"/>
    </row>
    <row r="491" spans="1:380" ht="14.65" customHeight="1">
      <c r="A491" s="360" t="s">
        <v>688</v>
      </c>
      <c r="B491" s="360" t="s">
        <v>498</v>
      </c>
      <c r="K491" s="2683" t="s">
        <v>4538</v>
      </c>
      <c r="O491" s="2499" t="str">
        <f>'Part V-Revenues &amp; Expenses'!O53</f>
        <v>40% of Units at 60% of AMI</v>
      </c>
      <c r="P491" s="2499"/>
      <c r="S491" s="1656" t="str">
        <f>B491</f>
        <v>UNIT SUMMARY</v>
      </c>
      <c r="T491" s="1656"/>
      <c r="U491" s="1656"/>
      <c r="V491" s="1656"/>
      <c r="AY491" s="358"/>
      <c r="BD491" s="358"/>
      <c r="JW491" s="1657"/>
      <c r="KB491" s="1657"/>
      <c r="KG491" s="1657"/>
      <c r="KL491" s="1657"/>
      <c r="KM491" s="1657"/>
      <c r="KN491" s="1657"/>
      <c r="KO491" s="1657"/>
      <c r="KP491" s="1657"/>
      <c r="KQ491" s="1657"/>
      <c r="KR491" s="1657"/>
      <c r="KS491" s="1657"/>
      <c r="KT491" s="1657"/>
      <c r="KU491" s="1657"/>
      <c r="KV491" s="1657"/>
      <c r="KW491" s="1657"/>
      <c r="KX491" s="1657"/>
      <c r="KY491" s="1657"/>
      <c r="KZ491" s="1657"/>
      <c r="LA491" s="1657"/>
      <c r="LB491" s="1657"/>
      <c r="LC491" s="1657"/>
      <c r="LD491" s="1657"/>
      <c r="LE491" s="1657"/>
      <c r="LF491" s="1657"/>
      <c r="LG491" s="1657"/>
      <c r="LN491" s="360"/>
      <c r="LO491" s="360"/>
      <c r="ME491" s="360"/>
    </row>
    <row r="492" spans="1:380" ht="14.25" customHeight="1">
      <c r="A492" s="360"/>
      <c r="B492" s="360"/>
      <c r="K492" s="1728" t="s">
        <v>4540</v>
      </c>
      <c r="O492" s="2499" t="str">
        <f>'Part V-Revenues &amp; Expenses'!O54</f>
        <v>N/a</v>
      </c>
      <c r="P492" s="2499"/>
      <c r="S492" s="360"/>
      <c r="T492" s="360"/>
      <c r="U492" s="2645"/>
      <c r="AY492" s="358"/>
      <c r="BD492" s="358"/>
      <c r="JW492" s="1657"/>
      <c r="KB492" s="1657"/>
      <c r="KG492" s="1657"/>
      <c r="KL492" s="1657"/>
      <c r="KM492" s="1657"/>
      <c r="KN492" s="1657"/>
      <c r="KO492" s="1657"/>
      <c r="KP492" s="1657"/>
      <c r="KQ492" s="1657"/>
      <c r="KR492" s="1657"/>
      <c r="KS492" s="1657"/>
      <c r="KT492" s="1657"/>
      <c r="KU492" s="1657"/>
      <c r="KV492" s="1657"/>
      <c r="KW492" s="1657"/>
      <c r="KX492" s="1657"/>
      <c r="KY492" s="1657"/>
      <c r="KZ492" s="1657"/>
      <c r="LA492" s="1657"/>
      <c r="LB492" s="1657"/>
      <c r="LC492" s="1657"/>
      <c r="LD492" s="1657"/>
      <c r="LE492" s="1657"/>
      <c r="LF492" s="1657"/>
      <c r="LG492" s="1657"/>
      <c r="LN492" s="360"/>
      <c r="LO492" s="360"/>
      <c r="ME492" s="360"/>
    </row>
    <row r="493" spans="1:380" ht="14.65" customHeight="1">
      <c r="A493" s="360"/>
      <c r="B493" s="360" t="s">
        <v>4392</v>
      </c>
      <c r="H493" s="356" t="s">
        <v>974</v>
      </c>
      <c r="K493" s="2684" t="s">
        <v>525</v>
      </c>
      <c r="L493" s="1806" t="s">
        <v>499</v>
      </c>
      <c r="M493" s="1806" t="s">
        <v>500</v>
      </c>
      <c r="N493" s="1806" t="s">
        <v>501</v>
      </c>
      <c r="O493" s="1806" t="s">
        <v>502</v>
      </c>
      <c r="P493" s="1806" t="s">
        <v>503</v>
      </c>
      <c r="S493" s="360" t="s">
        <v>1706</v>
      </c>
      <c r="T493" s="360"/>
      <c r="U493" s="2645"/>
      <c r="AR493" s="1806"/>
      <c r="AS493" s="1806"/>
      <c r="AT493" s="1806"/>
      <c r="AU493" s="1806"/>
      <c r="AV493" s="1806"/>
      <c r="AW493" s="1806"/>
      <c r="AY493" s="358"/>
      <c r="BB493" s="1806"/>
      <c r="BD493" s="358"/>
      <c r="JW493" s="1657"/>
      <c r="KB493" s="1657"/>
      <c r="KG493" s="1657"/>
      <c r="KL493" s="1657"/>
      <c r="KM493" s="1657"/>
      <c r="KN493" s="1657"/>
      <c r="KO493" s="1657"/>
      <c r="KP493" s="1657"/>
      <c r="KQ493" s="1657"/>
      <c r="KR493" s="1657"/>
      <c r="KS493" s="1657"/>
      <c r="KT493" s="1657"/>
      <c r="KU493" s="1657"/>
      <c r="KV493" s="1657"/>
      <c r="KW493" s="1657"/>
      <c r="KX493" s="1657"/>
      <c r="KY493" s="1657"/>
      <c r="KZ493" s="1657"/>
      <c r="LA493" s="1657"/>
      <c r="LB493" s="1657"/>
      <c r="LC493" s="1657"/>
      <c r="LD493" s="1657"/>
      <c r="LE493" s="1657"/>
      <c r="LF493" s="1657"/>
      <c r="LG493" s="1657"/>
      <c r="LN493" s="360"/>
      <c r="LO493" s="360"/>
      <c r="ME493" s="360"/>
    </row>
    <row r="494" spans="1:380" ht="15" customHeight="1">
      <c r="A494" s="2685" t="s">
        <v>3946</v>
      </c>
      <c r="B494" s="2685"/>
      <c r="C494" s="358" t="s">
        <v>1068</v>
      </c>
      <c r="D494" s="358"/>
      <c r="E494" s="358"/>
      <c r="F494" s="358"/>
      <c r="H494" s="1418" t="s">
        <v>3558</v>
      </c>
      <c r="I494" s="361"/>
      <c r="K494" s="2686">
        <f>X487</f>
        <v>0</v>
      </c>
      <c r="L494" s="2686">
        <f>Y487</f>
        <v>0</v>
      </c>
      <c r="M494" s="2686">
        <f>Z487</f>
        <v>0</v>
      </c>
      <c r="N494" s="2686">
        <f>AA487</f>
        <v>0</v>
      </c>
      <c r="O494" s="2686">
        <f>AB487</f>
        <v>0</v>
      </c>
      <c r="P494" s="2686">
        <f t="shared" ref="P494:P505" si="344">SUM(K494:O494)</f>
        <v>0</v>
      </c>
      <c r="Q494" s="2505" t="s">
        <v>3100</v>
      </c>
      <c r="R494" s="1786"/>
      <c r="S494" s="2672"/>
      <c r="T494" s="2672"/>
      <c r="U494" s="2672"/>
      <c r="V494" s="2672"/>
      <c r="W494" s="2672"/>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7"/>
      <c r="KB494" s="1657"/>
      <c r="KG494" s="1657"/>
      <c r="KL494" s="1657"/>
      <c r="KM494" s="1657"/>
      <c r="KN494" s="1657"/>
      <c r="KO494" s="1657"/>
      <c r="KP494" s="1657"/>
      <c r="KQ494" s="1657"/>
      <c r="KR494" s="1657"/>
      <c r="KS494" s="1657"/>
      <c r="KT494" s="1657"/>
      <c r="KU494" s="1657"/>
      <c r="KV494" s="1657"/>
      <c r="KW494" s="1657"/>
      <c r="KX494" s="1657"/>
      <c r="KY494" s="1657"/>
      <c r="KZ494" s="1657"/>
      <c r="LA494" s="1657"/>
      <c r="LB494" s="1657"/>
      <c r="LC494" s="1657"/>
      <c r="LD494" s="1657"/>
      <c r="LE494" s="1657"/>
      <c r="LF494" s="1657"/>
      <c r="LG494" s="1657"/>
      <c r="LN494" s="360"/>
      <c r="LO494" s="360"/>
      <c r="ME494" s="360"/>
    </row>
    <row r="495" spans="1:380" ht="15" customHeight="1">
      <c r="A495" s="2685"/>
      <c r="B495" s="2685"/>
      <c r="C495" s="358"/>
      <c r="D495" s="358"/>
      <c r="E495" s="358"/>
      <c r="F495" s="358"/>
      <c r="H495" s="1418" t="s">
        <v>3559</v>
      </c>
      <c r="I495" s="361"/>
      <c r="K495" s="2686">
        <f>AC487</f>
        <v>0</v>
      </c>
      <c r="L495" s="2686">
        <f>AD487</f>
        <v>0</v>
      </c>
      <c r="M495" s="2686">
        <f>AE487</f>
        <v>0</v>
      </c>
      <c r="N495" s="2686">
        <f>AF487</f>
        <v>0</v>
      </c>
      <c r="O495" s="2686">
        <f>AG487</f>
        <v>0</v>
      </c>
      <c r="P495" s="2686">
        <f t="shared" si="344"/>
        <v>0</v>
      </c>
      <c r="Q495" s="2505"/>
      <c r="R495" s="1786"/>
      <c r="S495" s="2672"/>
      <c r="T495" s="2672"/>
      <c r="U495" s="2672"/>
      <c r="V495" s="2672"/>
      <c r="W495" s="2672"/>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7"/>
      <c r="KB495" s="1657"/>
      <c r="KG495" s="1657"/>
      <c r="KL495" s="1657"/>
      <c r="KM495" s="1657"/>
      <c r="KN495" s="1657"/>
      <c r="KO495" s="1657"/>
      <c r="KP495" s="1657"/>
      <c r="KQ495" s="1657"/>
      <c r="KR495" s="1657"/>
      <c r="KS495" s="1657"/>
      <c r="KT495" s="1657"/>
      <c r="KU495" s="1657"/>
      <c r="KV495" s="1657"/>
      <c r="KW495" s="1657"/>
      <c r="KX495" s="1657"/>
      <c r="KY495" s="1657"/>
      <c r="KZ495" s="1657"/>
      <c r="LA495" s="1657"/>
      <c r="LB495" s="1657"/>
      <c r="LC495" s="1657"/>
      <c r="LD495" s="1657"/>
      <c r="LE495" s="1657"/>
      <c r="LF495" s="1657"/>
      <c r="LG495" s="1657"/>
      <c r="LN495" s="360"/>
      <c r="LO495" s="360"/>
      <c r="ME495" s="360"/>
    </row>
    <row r="496" spans="1:380" ht="15" customHeight="1">
      <c r="A496" s="2685"/>
      <c r="B496" s="2685"/>
      <c r="C496" s="358"/>
      <c r="D496" s="358"/>
      <c r="E496" s="358"/>
      <c r="F496" s="358"/>
      <c r="H496" s="1418" t="s">
        <v>1080</v>
      </c>
      <c r="I496" s="361"/>
      <c r="K496" s="2686">
        <f>AH487</f>
        <v>0</v>
      </c>
      <c r="L496" s="2686">
        <f>AI487</f>
        <v>9</v>
      </c>
      <c r="M496" s="2686">
        <f>AJ487</f>
        <v>19</v>
      </c>
      <c r="N496" s="2686">
        <f>AK487</f>
        <v>19</v>
      </c>
      <c r="O496" s="2686">
        <f>AL487</f>
        <v>0</v>
      </c>
      <c r="P496" s="2686">
        <f t="shared" si="344"/>
        <v>47</v>
      </c>
      <c r="Q496" s="2505"/>
      <c r="R496" s="1786"/>
      <c r="S496" s="2672"/>
      <c r="T496" s="2672"/>
      <c r="U496" s="2672"/>
      <c r="V496" s="2672"/>
      <c r="W496" s="2672"/>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7"/>
      <c r="KB496" s="1657"/>
      <c r="KG496" s="1657"/>
      <c r="KL496" s="1657"/>
      <c r="KM496" s="1657"/>
      <c r="KN496" s="1657"/>
      <c r="KO496" s="1657"/>
      <c r="KP496" s="1657"/>
      <c r="KQ496" s="1657"/>
      <c r="KR496" s="1657"/>
      <c r="KS496" s="1657"/>
      <c r="KT496" s="1657"/>
      <c r="KU496" s="1657"/>
      <c r="KV496" s="1657"/>
      <c r="KW496" s="1657"/>
      <c r="KX496" s="1657"/>
      <c r="KY496" s="1657"/>
      <c r="KZ496" s="1657"/>
      <c r="LA496" s="1657"/>
      <c r="LB496" s="1657"/>
      <c r="LC496" s="1657"/>
      <c r="LD496" s="1657"/>
      <c r="LE496" s="1657"/>
      <c r="LF496" s="1657"/>
      <c r="LG496" s="1657"/>
      <c r="LN496" s="360"/>
      <c r="LO496" s="360"/>
      <c r="ME496" s="360"/>
    </row>
    <row r="497" spans="1:343" ht="15" customHeight="1">
      <c r="A497" s="2685"/>
      <c r="B497" s="2685"/>
      <c r="C497" s="358"/>
      <c r="D497" s="358"/>
      <c r="E497" s="358"/>
      <c r="F497" s="358"/>
      <c r="H497" s="1418" t="s">
        <v>112</v>
      </c>
      <c r="I497" s="361"/>
      <c r="K497" s="2686">
        <f>AM487</f>
        <v>0</v>
      </c>
      <c r="L497" s="2686">
        <f>AN487</f>
        <v>3</v>
      </c>
      <c r="M497" s="2686">
        <f>AO487</f>
        <v>5</v>
      </c>
      <c r="N497" s="2686">
        <f>AP487</f>
        <v>5</v>
      </c>
      <c r="O497" s="2686">
        <f>AQ487</f>
        <v>0</v>
      </c>
      <c r="P497" s="2686">
        <f t="shared" si="344"/>
        <v>13</v>
      </c>
      <c r="Q497" s="2505"/>
      <c r="R497" s="1786"/>
      <c r="S497" s="2672"/>
      <c r="T497" s="2672"/>
      <c r="U497" s="2672"/>
      <c r="V497" s="2672"/>
      <c r="W497" s="2672"/>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7"/>
      <c r="KB497" s="1657"/>
      <c r="KG497" s="1657"/>
      <c r="KL497" s="1657"/>
      <c r="KM497" s="1657"/>
      <c r="KN497" s="1657"/>
      <c r="KO497" s="1657"/>
      <c r="KP497" s="1657"/>
      <c r="KQ497" s="1657"/>
      <c r="KR497" s="1657"/>
      <c r="KS497" s="1657"/>
      <c r="KT497" s="1657"/>
      <c r="KU497" s="1657"/>
      <c r="KV497" s="1657"/>
      <c r="KW497" s="1657"/>
      <c r="KX497" s="1657"/>
      <c r="KY497" s="1657"/>
      <c r="KZ497" s="1657"/>
      <c r="LA497" s="1657"/>
      <c r="LB497" s="1657"/>
      <c r="LC497" s="1657"/>
      <c r="LD497" s="1657"/>
      <c r="LE497" s="1657"/>
      <c r="LF497" s="1657"/>
      <c r="LG497" s="1657"/>
      <c r="LN497" s="360"/>
      <c r="LO497" s="360"/>
      <c r="ME497" s="360"/>
    </row>
    <row r="498" spans="1:343" ht="15" customHeight="1">
      <c r="A498" s="2685"/>
      <c r="B498" s="2685"/>
      <c r="C498" s="358"/>
      <c r="D498" s="358"/>
      <c r="E498" s="358"/>
      <c r="F498" s="358"/>
      <c r="H498" s="1418" t="s">
        <v>3560</v>
      </c>
      <c r="I498" s="361"/>
      <c r="K498" s="2686">
        <f>AR487</f>
        <v>0</v>
      </c>
      <c r="L498" s="2686">
        <f>AS487</f>
        <v>0</v>
      </c>
      <c r="M498" s="2686">
        <f>AT487</f>
        <v>0</v>
      </c>
      <c r="N498" s="2686">
        <f>AU487</f>
        <v>0</v>
      </c>
      <c r="O498" s="2686">
        <f>AV487</f>
        <v>0</v>
      </c>
      <c r="P498" s="2686">
        <f t="shared" si="344"/>
        <v>0</v>
      </c>
      <c r="Q498" s="2505"/>
      <c r="R498" s="1786"/>
      <c r="S498" s="2672"/>
      <c r="T498" s="2672"/>
      <c r="U498" s="2672"/>
      <c r="V498" s="2672"/>
      <c r="W498" s="2672"/>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7"/>
      <c r="KB498" s="1657"/>
      <c r="KG498" s="1657"/>
      <c r="KL498" s="1657"/>
      <c r="KM498" s="1657"/>
      <c r="KN498" s="1657"/>
      <c r="KO498" s="1657"/>
      <c r="KP498" s="1657"/>
      <c r="KQ498" s="1657"/>
      <c r="KR498" s="1657"/>
      <c r="KS498" s="1657"/>
      <c r="KT498" s="1657"/>
      <c r="KU498" s="1657"/>
      <c r="KV498" s="1657"/>
      <c r="KW498" s="1657"/>
      <c r="KX498" s="1657"/>
      <c r="KY498" s="1657"/>
      <c r="KZ498" s="1657"/>
      <c r="LA498" s="1657"/>
      <c r="LB498" s="1657"/>
      <c r="LC498" s="1657"/>
      <c r="LD498" s="1657"/>
      <c r="LE498" s="1657"/>
      <c r="LF498" s="1657"/>
      <c r="LG498" s="1657"/>
      <c r="LN498" s="360"/>
      <c r="LO498" s="360"/>
      <c r="ME498" s="360"/>
    </row>
    <row r="499" spans="1:343" ht="15" customHeight="1">
      <c r="A499" s="2685"/>
      <c r="B499" s="2685"/>
      <c r="C499" s="358"/>
      <c r="D499" s="358"/>
      <c r="E499" s="358"/>
      <c r="F499" s="358"/>
      <c r="H499" s="1418" t="s">
        <v>3561</v>
      </c>
      <c r="I499" s="361"/>
      <c r="K499" s="2686">
        <f>AW487</f>
        <v>0</v>
      </c>
      <c r="L499" s="2686">
        <f>AX487</f>
        <v>0</v>
      </c>
      <c r="M499" s="2686">
        <f>AY487</f>
        <v>0</v>
      </c>
      <c r="N499" s="2686">
        <f>AZ487</f>
        <v>0</v>
      </c>
      <c r="O499" s="2686">
        <f>BA487</f>
        <v>0</v>
      </c>
      <c r="P499" s="2686">
        <f t="shared" si="344"/>
        <v>0</v>
      </c>
      <c r="Q499" s="2505"/>
      <c r="R499" s="1786"/>
      <c r="S499" s="2672"/>
      <c r="T499" s="2672"/>
      <c r="U499" s="2672"/>
      <c r="V499" s="2672"/>
      <c r="W499" s="2672"/>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7"/>
      <c r="KB499" s="1657"/>
      <c r="KG499" s="1657"/>
      <c r="KL499" s="1657"/>
      <c r="KM499" s="1657"/>
      <c r="KN499" s="1657"/>
      <c r="KO499" s="1657"/>
      <c r="KP499" s="1657"/>
      <c r="KQ499" s="1657"/>
      <c r="KR499" s="1657"/>
      <c r="KS499" s="1657"/>
      <c r="KT499" s="1657"/>
      <c r="KU499" s="1657"/>
      <c r="KV499" s="1657"/>
      <c r="KW499" s="1657"/>
      <c r="KX499" s="1657"/>
      <c r="KY499" s="1657"/>
      <c r="KZ499" s="1657"/>
      <c r="LA499" s="1657"/>
      <c r="LB499" s="1657"/>
      <c r="LC499" s="1657"/>
      <c r="LD499" s="1657"/>
      <c r="LE499" s="1657"/>
      <c r="LF499" s="1657"/>
      <c r="LG499" s="1657"/>
      <c r="LN499" s="360"/>
      <c r="LO499" s="360"/>
      <c r="ME499" s="360"/>
    </row>
    <row r="500" spans="1:343" ht="15" customHeight="1">
      <c r="A500" s="2685"/>
      <c r="B500" s="2685"/>
      <c r="C500" s="1656"/>
      <c r="D500" s="358"/>
      <c r="E500" s="358"/>
      <c r="F500" s="358"/>
      <c r="H500" s="1418" t="s">
        <v>3562</v>
      </c>
      <c r="I500" s="361"/>
      <c r="K500" s="2686">
        <f>BB487</f>
        <v>0</v>
      </c>
      <c r="L500" s="2686">
        <f>BC487</f>
        <v>0</v>
      </c>
      <c r="M500" s="2686">
        <f>BD487</f>
        <v>0</v>
      </c>
      <c r="N500" s="2686">
        <f>BE487</f>
        <v>0</v>
      </c>
      <c r="O500" s="2686">
        <f>BF487</f>
        <v>0</v>
      </c>
      <c r="P500" s="2686">
        <f t="shared" si="344"/>
        <v>0</v>
      </c>
      <c r="Q500" s="2505"/>
      <c r="R500" s="1786"/>
      <c r="S500" s="2672"/>
      <c r="T500" s="2672"/>
      <c r="U500" s="2672"/>
      <c r="V500" s="2672"/>
      <c r="W500" s="2672"/>
      <c r="X500" s="1656"/>
      <c r="AA500" s="358"/>
      <c r="AB500" s="361"/>
      <c r="AC500" s="1656"/>
      <c r="AF500" s="358"/>
      <c r="AG500" s="361"/>
      <c r="AH500" s="1656"/>
      <c r="AK500" s="358"/>
      <c r="AL500" s="361"/>
      <c r="AM500" s="1656"/>
      <c r="AP500" s="358"/>
      <c r="AQ500" s="361"/>
      <c r="AR500" s="362"/>
      <c r="AS500" s="362"/>
      <c r="AT500" s="362"/>
      <c r="AU500" s="362"/>
      <c r="AV500" s="362"/>
      <c r="AW500" s="362"/>
      <c r="AX500" s="361"/>
      <c r="AY500" s="358"/>
      <c r="BB500" s="362"/>
      <c r="BC500" s="361"/>
      <c r="BD500" s="358"/>
      <c r="JW500" s="1657"/>
      <c r="KB500" s="1657"/>
      <c r="KG500" s="1657"/>
      <c r="KL500" s="1657"/>
      <c r="KM500" s="1657"/>
      <c r="KN500" s="1657"/>
      <c r="KO500" s="1657"/>
      <c r="KP500" s="1657"/>
      <c r="KQ500" s="1657"/>
      <c r="KR500" s="1657"/>
      <c r="KS500" s="1657"/>
      <c r="KT500" s="1657"/>
      <c r="KU500" s="1657"/>
      <c r="KV500" s="1657"/>
      <c r="KW500" s="1657"/>
      <c r="KX500" s="1657"/>
      <c r="KY500" s="1657"/>
      <c r="KZ500" s="1657"/>
      <c r="LA500" s="1657"/>
      <c r="LB500" s="1657"/>
      <c r="LC500" s="1657"/>
      <c r="LD500" s="1657"/>
      <c r="LE500" s="1657"/>
      <c r="LF500" s="1657"/>
      <c r="LG500" s="1657"/>
      <c r="LN500" s="360"/>
      <c r="LO500" s="360"/>
      <c r="ME500" s="360"/>
    </row>
    <row r="501" spans="1:343" ht="15" customHeight="1">
      <c r="A501" s="2685"/>
      <c r="B501" s="2685"/>
      <c r="C501" s="1418" t="s">
        <v>3644</v>
      </c>
      <c r="D501" s="358"/>
      <c r="E501" s="358"/>
      <c r="F501" s="358"/>
      <c r="H501" s="359"/>
      <c r="I501" s="794"/>
      <c r="K501" s="2686">
        <f>SUM(K494:K500)</f>
        <v>0</v>
      </c>
      <c r="L501" s="2686">
        <f>SUM(L494:L500)</f>
        <v>12</v>
      </c>
      <c r="M501" s="2686">
        <f>SUM(M494:M500)</f>
        <v>24</v>
      </c>
      <c r="N501" s="2686">
        <f>SUM(N494:N500)</f>
        <v>24</v>
      </c>
      <c r="O501" s="2686">
        <f>SUM(O494:O500)</f>
        <v>0</v>
      </c>
      <c r="P501" s="2686">
        <f t="shared" si="344"/>
        <v>60</v>
      </c>
      <c r="Q501" s="2505"/>
      <c r="S501" s="2672"/>
      <c r="T501" s="2672"/>
      <c r="U501" s="2672"/>
      <c r="V501" s="2672"/>
      <c r="W501" s="2672"/>
      <c r="X501" s="1656"/>
      <c r="AA501" s="358"/>
      <c r="AB501" s="361"/>
      <c r="AC501" s="1656"/>
      <c r="AF501" s="358"/>
      <c r="AG501" s="361"/>
      <c r="AH501" s="1656"/>
      <c r="AK501" s="358"/>
      <c r="AL501" s="361"/>
      <c r="AM501" s="1656"/>
      <c r="AP501" s="358"/>
      <c r="AQ501" s="361"/>
      <c r="AR501" s="362"/>
      <c r="AS501" s="362"/>
      <c r="AT501" s="362"/>
      <c r="AU501" s="362"/>
      <c r="AV501" s="362"/>
      <c r="AW501" s="362"/>
      <c r="AX501" s="361"/>
      <c r="AY501" s="358"/>
      <c r="BB501" s="362"/>
      <c r="BC501" s="361"/>
      <c r="BD501" s="358"/>
      <c r="JW501" s="1657"/>
      <c r="KB501" s="1657"/>
      <c r="KG501" s="1657"/>
      <c r="KL501" s="1657"/>
      <c r="KM501" s="1657"/>
      <c r="KN501" s="1657"/>
      <c r="KO501" s="1657"/>
      <c r="KP501" s="1657"/>
      <c r="KQ501" s="1657"/>
      <c r="KR501" s="1657"/>
      <c r="KS501" s="1657"/>
      <c r="KT501" s="1657"/>
      <c r="KU501" s="1657"/>
      <c r="KV501" s="1657"/>
      <c r="KW501" s="1657"/>
      <c r="KX501" s="1657"/>
      <c r="KY501" s="1657"/>
      <c r="KZ501" s="1657"/>
      <c r="LA501" s="1657"/>
      <c r="LB501" s="1657"/>
      <c r="LC501" s="1657"/>
      <c r="LD501" s="1657"/>
      <c r="LE501" s="1657"/>
      <c r="LF501" s="1657"/>
      <c r="LG501" s="1657"/>
      <c r="LN501" s="360"/>
      <c r="LO501" s="360"/>
      <c r="ME501" s="360"/>
    </row>
    <row r="502" spans="1:343" ht="15" customHeight="1">
      <c r="A502" s="2685"/>
      <c r="B502" s="2685"/>
      <c r="D502" s="358"/>
      <c r="E502" s="358"/>
      <c r="F502" s="358"/>
      <c r="H502" s="1418" t="s">
        <v>290</v>
      </c>
      <c r="I502" s="361"/>
      <c r="K502" s="2686">
        <f>BG487</f>
        <v>0</v>
      </c>
      <c r="L502" s="2686">
        <f>BH487</f>
        <v>4</v>
      </c>
      <c r="M502" s="2686">
        <f>BI487</f>
        <v>8</v>
      </c>
      <c r="N502" s="2686">
        <f>BJ487</f>
        <v>8</v>
      </c>
      <c r="O502" s="2686">
        <f>BK487</f>
        <v>0</v>
      </c>
      <c r="P502" s="2686">
        <f t="shared" si="344"/>
        <v>20</v>
      </c>
      <c r="S502" s="2672"/>
      <c r="T502" s="2672"/>
      <c r="U502" s="2672"/>
      <c r="V502" s="2672"/>
      <c r="W502" s="2672"/>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7"/>
      <c r="KB502" s="1657"/>
      <c r="KG502" s="1657"/>
      <c r="KL502" s="1657"/>
      <c r="KM502" s="1657"/>
      <c r="KN502" s="1657"/>
      <c r="KO502" s="1657"/>
      <c r="KP502" s="1657"/>
      <c r="KQ502" s="1657"/>
      <c r="KR502" s="1657"/>
      <c r="KS502" s="1657"/>
      <c r="KT502" s="1657"/>
      <c r="KU502" s="1657"/>
      <c r="KV502" s="1657"/>
      <c r="KW502" s="1657"/>
      <c r="KX502" s="1657"/>
      <c r="KY502" s="1657"/>
      <c r="KZ502" s="1657"/>
      <c r="LA502" s="1657"/>
      <c r="LB502" s="1657"/>
      <c r="LC502" s="1657"/>
      <c r="LD502" s="1657"/>
      <c r="LE502" s="1657"/>
      <c r="LF502" s="1657"/>
      <c r="LG502" s="1657"/>
      <c r="LN502" s="360"/>
      <c r="LO502" s="360"/>
      <c r="ME502" s="360"/>
    </row>
    <row r="503" spans="1:343" ht="15" customHeight="1">
      <c r="A503" s="2685"/>
      <c r="B503" s="2685"/>
      <c r="C503" s="2687" t="s">
        <v>1069</v>
      </c>
      <c r="D503" s="2687"/>
      <c r="E503" s="2687"/>
      <c r="F503" s="2687"/>
      <c r="G503" s="2688"/>
      <c r="H503" s="2689"/>
      <c r="I503" s="2690"/>
      <c r="J503" s="2688"/>
      <c r="K503" s="2691">
        <f>SUM(K501:K502)</f>
        <v>0</v>
      </c>
      <c r="L503" s="2691">
        <f>SUM(L501:L502)</f>
        <v>16</v>
      </c>
      <c r="M503" s="2691">
        <f>SUM(M501:M502)</f>
        <v>32</v>
      </c>
      <c r="N503" s="2691">
        <f>SUM(N501:N502)</f>
        <v>32</v>
      </c>
      <c r="O503" s="2691">
        <f>SUM(O501:O502)</f>
        <v>0</v>
      </c>
      <c r="P503" s="2691">
        <f t="shared" si="344"/>
        <v>80</v>
      </c>
      <c r="S503" s="2672"/>
      <c r="T503" s="2672"/>
      <c r="U503" s="2672"/>
      <c r="V503" s="2672"/>
      <c r="W503" s="2672"/>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7"/>
      <c r="KB503" s="1657"/>
      <c r="KG503" s="1657"/>
      <c r="KL503" s="1657"/>
      <c r="KM503" s="1657"/>
      <c r="KN503" s="1657"/>
      <c r="KO503" s="1657"/>
      <c r="KP503" s="1657"/>
      <c r="KQ503" s="1657"/>
      <c r="KR503" s="1657"/>
      <c r="KS503" s="1657"/>
      <c r="KT503" s="1657"/>
      <c r="KU503" s="1657"/>
      <c r="KV503" s="1657"/>
      <c r="KW503" s="1657"/>
      <c r="KX503" s="1657"/>
      <c r="KY503" s="1657"/>
      <c r="KZ503" s="1657"/>
      <c r="LA503" s="1657"/>
      <c r="LB503" s="1657"/>
      <c r="LC503" s="1657"/>
      <c r="LD503" s="1657"/>
      <c r="LE503" s="1657"/>
      <c r="LF503" s="1657"/>
      <c r="LG503" s="1657"/>
      <c r="LN503" s="360"/>
      <c r="LO503" s="360"/>
      <c r="ME503" s="360"/>
    </row>
    <row r="504" spans="1:343" ht="15" customHeight="1">
      <c r="A504" s="2685"/>
      <c r="B504" s="2685"/>
      <c r="D504" s="358"/>
      <c r="E504" s="358"/>
      <c r="F504" s="358"/>
      <c r="H504" s="1418" t="s">
        <v>2303</v>
      </c>
      <c r="I504" s="361"/>
      <c r="K504" s="2686">
        <f>ED487</f>
        <v>0</v>
      </c>
      <c r="L504" s="2686">
        <f>EE487</f>
        <v>0</v>
      </c>
      <c r="M504" s="2686">
        <f>EF487</f>
        <v>0</v>
      </c>
      <c r="N504" s="2686">
        <f>EG487</f>
        <v>0</v>
      </c>
      <c r="O504" s="2686">
        <f>EH487</f>
        <v>0</v>
      </c>
      <c r="P504" s="2686">
        <f t="shared" si="344"/>
        <v>0</v>
      </c>
      <c r="Q504" s="2505" t="s">
        <v>3101</v>
      </c>
      <c r="S504" s="2672"/>
      <c r="T504" s="2672"/>
      <c r="U504" s="2672"/>
      <c r="V504" s="2672"/>
      <c r="W504" s="2672"/>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7"/>
      <c r="KB504" s="1657"/>
      <c r="KG504" s="1657"/>
      <c r="KL504" s="1657"/>
      <c r="KM504" s="1657"/>
      <c r="KN504" s="1657"/>
      <c r="KO504" s="1657"/>
      <c r="KP504" s="1657"/>
      <c r="KQ504" s="1657"/>
      <c r="KR504" s="1657"/>
      <c r="KS504" s="1657"/>
      <c r="KT504" s="1657"/>
      <c r="KU504" s="1657"/>
      <c r="KV504" s="1657"/>
      <c r="KW504" s="1657"/>
      <c r="KX504" s="1657"/>
      <c r="KY504" s="1657"/>
      <c r="KZ504" s="1657"/>
      <c r="LA504" s="1657"/>
      <c r="LB504" s="1657"/>
      <c r="LC504" s="1657"/>
      <c r="LD504" s="1657"/>
      <c r="LE504" s="1657"/>
      <c r="LF504" s="1657"/>
      <c r="LG504" s="1657"/>
      <c r="LN504" s="360"/>
      <c r="LO504" s="360"/>
      <c r="ME504" s="360"/>
    </row>
    <row r="505" spans="1:343" ht="15" customHeight="1">
      <c r="A505" s="2685"/>
      <c r="B505" s="2685"/>
      <c r="C505" s="1656" t="s">
        <v>1662</v>
      </c>
      <c r="D505" s="358"/>
      <c r="E505" s="358"/>
      <c r="F505" s="358"/>
      <c r="H505" s="1418"/>
      <c r="I505" s="361"/>
      <c r="K505" s="2692">
        <f>SUM(K503:K504)</f>
        <v>0</v>
      </c>
      <c r="L505" s="2692">
        <f>SUM(L503:L504)</f>
        <v>16</v>
      </c>
      <c r="M505" s="2692">
        <f>SUM(M503:M504)</f>
        <v>32</v>
      </c>
      <c r="N505" s="2692">
        <f>SUM(N503:N504)</f>
        <v>32</v>
      </c>
      <c r="O505" s="2692">
        <f>SUM(O503:O504)</f>
        <v>0</v>
      </c>
      <c r="P505" s="2692">
        <f t="shared" si="344"/>
        <v>80</v>
      </c>
      <c r="S505" s="2672"/>
      <c r="T505" s="2672"/>
      <c r="U505" s="2672"/>
      <c r="V505" s="2672"/>
      <c r="W505" s="2672"/>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7"/>
      <c r="KB505" s="1657"/>
      <c r="KG505" s="1657"/>
      <c r="KL505" s="1657"/>
      <c r="KM505" s="1657"/>
      <c r="KN505" s="1657"/>
      <c r="KO505" s="1657"/>
      <c r="KP505" s="1657"/>
      <c r="KQ505" s="1657"/>
      <c r="KR505" s="1657"/>
      <c r="KS505" s="1657"/>
      <c r="KT505" s="1657"/>
      <c r="KU505" s="1657"/>
      <c r="KV505" s="1657"/>
      <c r="KW505" s="1657"/>
      <c r="KX505" s="1657"/>
      <c r="KY505" s="1657"/>
      <c r="KZ505" s="1657"/>
      <c r="LA505" s="1657"/>
      <c r="LB505" s="1657"/>
      <c r="LC505" s="1657"/>
      <c r="LD505" s="1657"/>
      <c r="LE505" s="1657"/>
      <c r="LF505" s="1657"/>
      <c r="LG505" s="1657"/>
      <c r="LN505" s="360"/>
      <c r="LO505" s="360"/>
      <c r="ME505" s="360"/>
    </row>
    <row r="506" spans="1:343" ht="16.149999999999999" customHeight="1">
      <c r="A506" s="2685"/>
      <c r="B506" s="2685"/>
      <c r="C506" s="2693"/>
      <c r="D506" s="2693"/>
      <c r="E506" s="2693"/>
      <c r="F506" s="2693"/>
      <c r="G506" s="2693"/>
      <c r="H506" s="2685"/>
      <c r="I506" s="2693"/>
      <c r="J506" s="2693"/>
      <c r="K506" s="2693"/>
      <c r="L506" s="2693"/>
      <c r="M506" s="2693"/>
      <c r="N506" s="2693"/>
      <c r="O506" s="2693"/>
      <c r="P506" s="2693"/>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7"/>
      <c r="KB506" s="1657"/>
      <c r="KG506" s="1657"/>
      <c r="KL506" s="1657"/>
      <c r="KM506" s="1657"/>
      <c r="KN506" s="1657"/>
      <c r="KO506" s="1657"/>
      <c r="KP506" s="1657"/>
      <c r="KQ506" s="1657"/>
      <c r="KR506" s="1657"/>
      <c r="KS506" s="1657"/>
      <c r="KT506" s="1657"/>
      <c r="KU506" s="1657"/>
      <c r="KV506" s="1657"/>
      <c r="KW506" s="1657"/>
      <c r="KX506" s="1657"/>
      <c r="KY506" s="1657"/>
      <c r="KZ506" s="1657"/>
      <c r="LA506" s="1657"/>
      <c r="LB506" s="1657"/>
      <c r="LC506" s="1657"/>
      <c r="LD506" s="1657"/>
      <c r="LE506" s="1657"/>
      <c r="LF506" s="1657"/>
      <c r="LG506" s="1657"/>
      <c r="LN506" s="360"/>
      <c r="LO506" s="360"/>
      <c r="ME506" s="360"/>
    </row>
    <row r="507" spans="1:343" ht="12" customHeight="1">
      <c r="A507" s="2685"/>
      <c r="B507" s="2685"/>
      <c r="C507" s="2693" t="s">
        <v>3652</v>
      </c>
      <c r="D507" s="2693"/>
      <c r="E507" s="2693"/>
      <c r="F507" s="2693"/>
      <c r="G507" s="2693"/>
      <c r="H507" s="2685"/>
      <c r="I507" s="2693"/>
      <c r="J507" s="2693"/>
      <c r="K507" s="2693"/>
      <c r="L507" s="2693"/>
      <c r="M507" s="2693"/>
      <c r="N507" s="2693"/>
      <c r="O507" s="2693"/>
      <c r="P507" s="2693"/>
      <c r="S507" s="2473" t="str">
        <f>C507</f>
        <v xml:space="preserve">Income Limit Distribution among Bedroom Sizes </v>
      </c>
      <c r="U507" s="2650"/>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7"/>
      <c r="KB507" s="1657"/>
      <c r="KG507" s="1657"/>
      <c r="KL507" s="1657"/>
      <c r="KM507" s="1657"/>
      <c r="KN507" s="1657"/>
      <c r="KO507" s="1657"/>
      <c r="KP507" s="1657"/>
      <c r="KQ507" s="1657"/>
      <c r="KR507" s="1657"/>
      <c r="KS507" s="1657"/>
      <c r="KT507" s="1657"/>
      <c r="KU507" s="1657"/>
      <c r="KV507" s="1657"/>
      <c r="KW507" s="1657"/>
      <c r="KX507" s="1657"/>
      <c r="KY507" s="1657"/>
      <c r="KZ507" s="1657"/>
      <c r="LA507" s="1657"/>
      <c r="LB507" s="1657"/>
      <c r="LC507" s="1657"/>
      <c r="LD507" s="1657"/>
      <c r="LE507" s="1657"/>
      <c r="LF507" s="1657"/>
      <c r="LG507" s="1657"/>
      <c r="LN507" s="360"/>
      <c r="LO507" s="360"/>
      <c r="ME507" s="360"/>
    </row>
    <row r="508" spans="1:343" ht="13.15" customHeight="1">
      <c r="A508" s="2685"/>
      <c r="B508" s="2685"/>
      <c r="C508" s="2693"/>
      <c r="D508" s="2693"/>
      <c r="E508" s="2693"/>
      <c r="F508" s="2693"/>
      <c r="H508" s="1418" t="s">
        <v>3558</v>
      </c>
      <c r="I508" s="361"/>
      <c r="J508" s="2694"/>
      <c r="K508" s="2695" t="str">
        <f t="shared" ref="K508:P508" si="345">IF(OR(K494=0,K505=0),"",K494/K505)</f>
        <v/>
      </c>
      <c r="L508" s="2695" t="str">
        <f t="shared" si="345"/>
        <v/>
      </c>
      <c r="M508" s="2695" t="str">
        <f t="shared" si="345"/>
        <v/>
      </c>
      <c r="N508" s="2695" t="str">
        <f t="shared" si="345"/>
        <v/>
      </c>
      <c r="O508" s="2695" t="str">
        <f t="shared" si="345"/>
        <v/>
      </c>
      <c r="P508" s="2695" t="str">
        <f t="shared" si="345"/>
        <v/>
      </c>
      <c r="Q508" s="1786" t="s">
        <v>3940</v>
      </c>
      <c r="S508" s="2672"/>
      <c r="T508" s="2672"/>
      <c r="U508" s="2672"/>
      <c r="V508" s="2672"/>
      <c r="W508" s="2672"/>
    </row>
    <row r="509" spans="1:343">
      <c r="A509" s="2685"/>
      <c r="B509" s="2685"/>
      <c r="C509" s="358"/>
      <c r="H509" s="1418" t="s">
        <v>5083</v>
      </c>
      <c r="I509" s="361"/>
      <c r="J509" s="358"/>
      <c r="K509" s="2696" t="str">
        <f>IF(OR(K494=0,P508="",K505=0),"",P508*K505)</f>
        <v/>
      </c>
      <c r="L509" s="2696" t="str">
        <f>IF(OR(L494=0,P508="",L505=0),"",P508*L505)</f>
        <v/>
      </c>
      <c r="M509" s="2696" t="str">
        <f>IF(OR(M494=0,P508="",M505=0),"",P508*M505)</f>
        <v/>
      </c>
      <c r="N509" s="2696" t="str">
        <f>IF(OR(N494=0,P508="",N505=0),"",P508*N505)</f>
        <v/>
      </c>
      <c r="O509" s="2696" t="str">
        <f>IF(OR(O494=0,P508="",O505=0),"",P508*O505)</f>
        <v/>
      </c>
      <c r="P509" s="2696" t="str">
        <f>IF(OR(P508="",P505=0),"",P508*P505)</f>
        <v/>
      </c>
      <c r="S509" s="2672"/>
      <c r="T509" s="2672"/>
      <c r="U509" s="2672"/>
      <c r="V509" s="2672"/>
      <c r="W509" s="2672"/>
    </row>
    <row r="510" spans="1:343">
      <c r="A510" s="2685"/>
      <c r="B510" s="2685"/>
      <c r="C510" s="358"/>
      <c r="G510" s="2678"/>
      <c r="H510" s="1418" t="s">
        <v>5084</v>
      </c>
      <c r="I510" s="361"/>
      <c r="J510" s="358"/>
      <c r="K510" s="2696" t="str">
        <f t="shared" ref="K510:P510" si="346">IF(OR(K509="",K494=0),"", K494-K509)</f>
        <v/>
      </c>
      <c r="L510" s="2696" t="str">
        <f t="shared" si="346"/>
        <v/>
      </c>
      <c r="M510" s="2696" t="str">
        <f t="shared" si="346"/>
        <v/>
      </c>
      <c r="N510" s="2696" t="str">
        <f t="shared" si="346"/>
        <v/>
      </c>
      <c r="O510" s="2696" t="str">
        <f t="shared" si="346"/>
        <v/>
      </c>
      <c r="P510" s="2696" t="str">
        <f t="shared" si="346"/>
        <v/>
      </c>
      <c r="S510" s="2672"/>
      <c r="T510" s="2672"/>
      <c r="U510" s="2672"/>
      <c r="V510" s="2672"/>
      <c r="W510" s="2672"/>
    </row>
    <row r="511" spans="1:343" ht="12.75" customHeight="1">
      <c r="A511" s="2685"/>
      <c r="B511" s="2685"/>
      <c r="C511" s="358"/>
      <c r="D511" s="358" t="s">
        <v>5085</v>
      </c>
      <c r="E511" s="358"/>
      <c r="F511" s="358"/>
      <c r="H511" s="1418" t="s">
        <v>3559</v>
      </c>
      <c r="I511" s="361"/>
      <c r="J511" s="358"/>
      <c r="K511" s="2695" t="str">
        <f t="shared" ref="K511:P511" si="347">IF(OR(K495=0,K505=0),"",K495/K505)</f>
        <v/>
      </c>
      <c r="L511" s="2695" t="str">
        <f t="shared" si="347"/>
        <v/>
      </c>
      <c r="M511" s="2695" t="str">
        <f t="shared" si="347"/>
        <v/>
      </c>
      <c r="N511" s="2695" t="str">
        <f t="shared" si="347"/>
        <v/>
      </c>
      <c r="O511" s="2695" t="str">
        <f t="shared" si="347"/>
        <v/>
      </c>
      <c r="P511" s="2695" t="str">
        <f t="shared" si="347"/>
        <v/>
      </c>
      <c r="S511" s="2672"/>
      <c r="T511" s="2672"/>
      <c r="U511" s="2672"/>
      <c r="V511" s="2672"/>
      <c r="W511" s="2672"/>
    </row>
    <row r="512" spans="1:343">
      <c r="C512" s="358"/>
      <c r="D512" s="358"/>
      <c r="E512" s="358"/>
      <c r="F512" s="358"/>
      <c r="H512" s="1418" t="s">
        <v>5083</v>
      </c>
      <c r="I512" s="361"/>
      <c r="J512" s="358"/>
      <c r="K512" s="2696" t="str">
        <f>IF(OR(K495=0,P511="",K505=0),"",P511*K505)</f>
        <v/>
      </c>
      <c r="L512" s="2696" t="str">
        <f>IF(OR(L495=0,P511="",L505=0),"",P511*L505)</f>
        <v/>
      </c>
      <c r="M512" s="2696" t="str">
        <f>IF(OR(M495=0,P511="",M505=0),"",P511*M505)</f>
        <v/>
      </c>
      <c r="N512" s="2696" t="str">
        <f>IF(OR(N495=0,P511="",N505=0),"",P511*N505)</f>
        <v/>
      </c>
      <c r="O512" s="2696" t="str">
        <f>IF(OR(O495=0,P511="",O505=0),"",P511*O505)</f>
        <v/>
      </c>
      <c r="P512" s="2696" t="str">
        <f>IF(OR(P511="",P505=0),"",P511*P505)</f>
        <v/>
      </c>
      <c r="S512" s="2672"/>
      <c r="T512" s="2672"/>
      <c r="U512" s="2672"/>
      <c r="V512" s="2672"/>
      <c r="W512" s="2672"/>
    </row>
    <row r="513" spans="3:23">
      <c r="C513" s="358"/>
      <c r="D513" s="358"/>
      <c r="E513" s="358"/>
      <c r="F513" s="358"/>
      <c r="G513" s="2678"/>
      <c r="H513" s="1418" t="s">
        <v>5084</v>
      </c>
      <c r="I513" s="361"/>
      <c r="J513" s="358"/>
      <c r="K513" s="2696" t="str">
        <f t="shared" ref="K513:P513" si="348">IF(OR(K512="",K495=0),"", K495-K512)</f>
        <v/>
      </c>
      <c r="L513" s="2696" t="str">
        <f t="shared" si="348"/>
        <v/>
      </c>
      <c r="M513" s="2696" t="str">
        <f t="shared" si="348"/>
        <v/>
      </c>
      <c r="N513" s="2696" t="str">
        <f t="shared" si="348"/>
        <v/>
      </c>
      <c r="O513" s="2696" t="str">
        <f t="shared" si="348"/>
        <v/>
      </c>
      <c r="P513" s="2696" t="str">
        <f t="shared" si="348"/>
        <v/>
      </c>
      <c r="S513" s="2672"/>
      <c r="T513" s="2672"/>
      <c r="U513" s="2672"/>
      <c r="V513" s="2672"/>
      <c r="W513" s="2672"/>
    </row>
    <row r="514" spans="3:23">
      <c r="C514" s="360" t="s">
        <v>3938</v>
      </c>
      <c r="D514" s="358"/>
      <c r="E514" s="358"/>
      <c r="F514" s="358"/>
      <c r="H514" s="1418" t="s">
        <v>1080</v>
      </c>
      <c r="I514" s="361"/>
      <c r="J514" s="358"/>
      <c r="K514" s="2695" t="str">
        <f t="shared" ref="K514:P514" si="349">IF(OR(K496=0,K505=0),"",K496/K505)</f>
        <v/>
      </c>
      <c r="L514" s="2695">
        <f t="shared" si="349"/>
        <v>0.5625</v>
      </c>
      <c r="M514" s="2695">
        <f t="shared" si="349"/>
        <v>0.59375</v>
      </c>
      <c r="N514" s="2695">
        <f t="shared" si="349"/>
        <v>0.59375</v>
      </c>
      <c r="O514" s="2695" t="str">
        <f t="shared" si="349"/>
        <v/>
      </c>
      <c r="P514" s="2695">
        <f t="shared" si="349"/>
        <v>0.58750000000000002</v>
      </c>
      <c r="S514" s="2672"/>
      <c r="T514" s="2672"/>
      <c r="U514" s="2672"/>
      <c r="V514" s="2672"/>
      <c r="W514" s="2672"/>
    </row>
    <row r="515" spans="3:23" ht="15.75" customHeight="1">
      <c r="C515" s="360"/>
      <c r="D515" s="358"/>
      <c r="E515" s="358"/>
      <c r="F515" s="358"/>
      <c r="H515" s="1418" t="s">
        <v>5083</v>
      </c>
      <c r="I515" s="361"/>
      <c r="J515" s="358"/>
      <c r="K515" s="2696" t="str">
        <f>IF(OR(K496=0,P514="",K505=0),"",P514*K505)</f>
        <v/>
      </c>
      <c r="L515" s="2696">
        <f>IF(OR(L496=0,P514="",L505=0),"",P514*L505)</f>
        <v>9.4</v>
      </c>
      <c r="M515" s="2696">
        <f>IF(OR(M496=0,P514="",M505=0),"",P514*M505)</f>
        <v>18.8</v>
      </c>
      <c r="N515" s="2696">
        <f>IF(OR(N496=0,P514="",N505=0),"",P514*N505)</f>
        <v>18.8</v>
      </c>
      <c r="O515" s="2696" t="str">
        <f>IF(OR(O496=0,P514="",O505=0),"",P514*O505)</f>
        <v/>
      </c>
      <c r="P515" s="2696">
        <f>IF(OR(P514="",P505=0),"",P514*P505)</f>
        <v>47</v>
      </c>
      <c r="S515" s="2672"/>
      <c r="T515" s="2672"/>
      <c r="U515" s="2672"/>
      <c r="V515" s="2672"/>
      <c r="W515" s="2672"/>
    </row>
    <row r="516" spans="3:23" ht="15.75" customHeight="1">
      <c r="C516" s="360"/>
      <c r="D516" s="358"/>
      <c r="E516" s="358"/>
      <c r="F516" s="358"/>
      <c r="G516" s="2678"/>
      <c r="H516" s="1418" t="s">
        <v>5084</v>
      </c>
      <c r="I516" s="361"/>
      <c r="J516" s="358"/>
      <c r="K516" s="2696" t="str">
        <f t="shared" ref="K516:P516" si="350">IF(OR(K515="",K496=0),"", K496-K515)</f>
        <v/>
      </c>
      <c r="L516" s="2696">
        <f t="shared" si="350"/>
        <v>-0.40000000000000036</v>
      </c>
      <c r="M516" s="2696">
        <f t="shared" si="350"/>
        <v>0.19999999999999929</v>
      </c>
      <c r="N516" s="2696">
        <f t="shared" si="350"/>
        <v>0.19999999999999929</v>
      </c>
      <c r="O516" s="2696" t="str">
        <f t="shared" si="350"/>
        <v/>
      </c>
      <c r="P516" s="2696">
        <f t="shared" si="350"/>
        <v>0</v>
      </c>
    </row>
    <row r="517" spans="3:23">
      <c r="C517" s="360" t="s">
        <v>3938</v>
      </c>
      <c r="D517" s="360"/>
      <c r="E517" s="360"/>
      <c r="H517" s="1418" t="s">
        <v>112</v>
      </c>
      <c r="I517" s="361"/>
      <c r="J517" s="358"/>
      <c r="K517" s="2695" t="str">
        <f t="shared" ref="K517:P517" si="351">IF(OR(K497=0,K505=0),"",K497/K505)</f>
        <v/>
      </c>
      <c r="L517" s="2695">
        <f t="shared" si="351"/>
        <v>0.1875</v>
      </c>
      <c r="M517" s="2695">
        <f t="shared" si="351"/>
        <v>0.15625</v>
      </c>
      <c r="N517" s="2695">
        <f t="shared" si="351"/>
        <v>0.15625</v>
      </c>
      <c r="O517" s="2695" t="str">
        <f t="shared" si="351"/>
        <v/>
      </c>
      <c r="P517" s="2695">
        <f t="shared" si="351"/>
        <v>0.16250000000000001</v>
      </c>
    </row>
    <row r="518" spans="3:23">
      <c r="C518" s="360"/>
      <c r="D518" s="360"/>
      <c r="E518" s="360"/>
      <c r="H518" s="1418" t="s">
        <v>5083</v>
      </c>
      <c r="I518" s="361"/>
      <c r="J518" s="358"/>
      <c r="K518" s="2696" t="str">
        <f>IF(OR(K497=0,P517="",K505=0),"",P517*K505)</f>
        <v/>
      </c>
      <c r="L518" s="2696">
        <f>IF(OR(L497=0,P517="",L505=0),"",P517*L505)</f>
        <v>2.6</v>
      </c>
      <c r="M518" s="2696">
        <f>IF(OR(M497=0,P517="",M505=0),"",P517*M505)</f>
        <v>5.2</v>
      </c>
      <c r="N518" s="2696">
        <f>IF(OR(N497=0,P517="",N505=0),"",P517*N505)</f>
        <v>5.2</v>
      </c>
      <c r="O518" s="2696" t="str">
        <f>IF(OR(O497=0,P517="",O505=0),"",P517*O505)</f>
        <v/>
      </c>
      <c r="P518" s="2696">
        <f>IF(OR(P517="",P505=0),"",P517*P505)</f>
        <v>13</v>
      </c>
    </row>
    <row r="519" spans="3:23">
      <c r="C519" s="360"/>
      <c r="D519" s="360"/>
      <c r="E519" s="360"/>
      <c r="G519" s="2678"/>
      <c r="H519" s="1418" t="s">
        <v>5084</v>
      </c>
      <c r="I519" s="361"/>
      <c r="J519" s="358"/>
      <c r="K519" s="2696" t="str">
        <f t="shared" ref="K519:P519" si="352">IF(OR(K518="",K497=0),"", K497-K518)</f>
        <v/>
      </c>
      <c r="L519" s="2696">
        <f t="shared" si="352"/>
        <v>0.39999999999999991</v>
      </c>
      <c r="M519" s="2696">
        <f t="shared" si="352"/>
        <v>-0.20000000000000018</v>
      </c>
      <c r="N519" s="2696">
        <f t="shared" si="352"/>
        <v>-0.20000000000000018</v>
      </c>
      <c r="O519" s="2696" t="str">
        <f t="shared" si="352"/>
        <v/>
      </c>
      <c r="P519" s="2696">
        <f t="shared" si="352"/>
        <v>0</v>
      </c>
    </row>
    <row r="520" spans="3:23">
      <c r="C520" s="360" t="s">
        <v>3938</v>
      </c>
      <c r="D520" s="360"/>
      <c r="E520" s="360"/>
      <c r="H520" s="1418" t="s">
        <v>3560</v>
      </c>
      <c r="I520" s="361"/>
      <c r="J520" s="358"/>
      <c r="K520" s="2695" t="str">
        <f t="shared" ref="K520:P520" si="353">IF(OR(K498=0,K505=0),"",K498/K505)</f>
        <v/>
      </c>
      <c r="L520" s="2695" t="str">
        <f t="shared" si="353"/>
        <v/>
      </c>
      <c r="M520" s="2695" t="str">
        <f t="shared" si="353"/>
        <v/>
      </c>
      <c r="N520" s="2695" t="str">
        <f t="shared" si="353"/>
        <v/>
      </c>
      <c r="O520" s="2695" t="str">
        <f t="shared" si="353"/>
        <v/>
      </c>
      <c r="P520" s="2695" t="str">
        <f t="shared" si="353"/>
        <v/>
      </c>
    </row>
    <row r="521" spans="3:23">
      <c r="C521" s="360"/>
      <c r="H521" s="1418" t="s">
        <v>5083</v>
      </c>
      <c r="I521" s="361"/>
      <c r="J521" s="358"/>
      <c r="K521" s="2696" t="str">
        <f>IF(OR(K498=0,P520="",K505=0),"",P520*K505)</f>
        <v/>
      </c>
      <c r="L521" s="2696" t="str">
        <f>IF(OR(L498=0,P520="",L505=0),"",P520*L505)</f>
        <v/>
      </c>
      <c r="M521" s="2696" t="str">
        <f>IF(OR(M498=0,P520="",M505=0),"",P520*M505)</f>
        <v/>
      </c>
      <c r="N521" s="2696" t="str">
        <f>IF(OR(N498=0,P520="",N505=0),"",P520*N505)</f>
        <v/>
      </c>
      <c r="O521" s="2696" t="str">
        <f>IF(OR(O498=0,P520="",O505=0),"",P520*O505)</f>
        <v/>
      </c>
      <c r="P521" s="2696" t="str">
        <f>IF(OR(P520="",P505=0),"",P520*P505)</f>
        <v/>
      </c>
    </row>
    <row r="522" spans="3:23">
      <c r="C522" s="360"/>
      <c r="G522" s="2678"/>
      <c r="H522" s="1418" t="s">
        <v>5084</v>
      </c>
      <c r="I522" s="361"/>
      <c r="J522" s="358"/>
      <c r="K522" s="2696" t="str">
        <f t="shared" ref="K522:P522" si="354">IF(OR(K521="",K498=0),"", K498-K521)</f>
        <v/>
      </c>
      <c r="L522" s="2696" t="str">
        <f t="shared" si="354"/>
        <v/>
      </c>
      <c r="M522" s="2696" t="str">
        <f t="shared" si="354"/>
        <v/>
      </c>
      <c r="N522" s="2696" t="str">
        <f t="shared" si="354"/>
        <v/>
      </c>
      <c r="O522" s="2696" t="str">
        <f t="shared" si="354"/>
        <v/>
      </c>
      <c r="P522" s="2696" t="str">
        <f t="shared" si="354"/>
        <v/>
      </c>
    </row>
    <row r="523" spans="3:23">
      <c r="C523" s="360" t="s">
        <v>3938</v>
      </c>
      <c r="H523" s="1418" t="s">
        <v>3561</v>
      </c>
      <c r="I523" s="361"/>
      <c r="J523" s="358"/>
      <c r="K523" s="2695" t="str">
        <f t="shared" ref="K523:P523" si="355">IF(OR(K499=0,K505=0),"",K499/K505)</f>
        <v/>
      </c>
      <c r="L523" s="2695" t="str">
        <f t="shared" si="355"/>
        <v/>
      </c>
      <c r="M523" s="2695" t="str">
        <f t="shared" si="355"/>
        <v/>
      </c>
      <c r="N523" s="2695" t="str">
        <f t="shared" si="355"/>
        <v/>
      </c>
      <c r="O523" s="2695" t="str">
        <f t="shared" si="355"/>
        <v/>
      </c>
      <c r="P523" s="2695" t="str">
        <f t="shared" si="355"/>
        <v/>
      </c>
    </row>
    <row r="524" spans="3:23">
      <c r="C524" s="360"/>
      <c r="H524" s="1418" t="s">
        <v>5083</v>
      </c>
      <c r="I524" s="361"/>
      <c r="J524" s="358"/>
      <c r="K524" s="2696" t="str">
        <f>IF(OR(K499=0,P523="",K505=0),"",P523*K505)</f>
        <v/>
      </c>
      <c r="L524" s="2696" t="str">
        <f>IF(OR(L499=0,P523="",L505=0),"",P523*L505)</f>
        <v/>
      </c>
      <c r="M524" s="2696" t="str">
        <f>IF(OR(M499=0,P523="",M505=0),"",P523*M505)</f>
        <v/>
      </c>
      <c r="N524" s="2696" t="str">
        <f>IF(OR(N499=0,P523="",N505=0),"",P523*N505)</f>
        <v/>
      </c>
      <c r="O524" s="2696" t="str">
        <f>IF(OR(O499=0,P523="",O505=0),"",P523*O505)</f>
        <v/>
      </c>
      <c r="P524" s="2696" t="str">
        <f>IF(OR(P523="",P505=0),"",P523*P505)</f>
        <v/>
      </c>
    </row>
    <row r="525" spans="3:23">
      <c r="C525" s="360"/>
      <c r="G525" s="2678"/>
      <c r="H525" s="1418" t="s">
        <v>5084</v>
      </c>
      <c r="I525" s="361"/>
      <c r="J525" s="358"/>
      <c r="K525" s="2696" t="str">
        <f t="shared" ref="K525:P525" si="356">IF(OR(K524="",K499=0),"", K499-K524)</f>
        <v/>
      </c>
      <c r="L525" s="2696" t="str">
        <f t="shared" si="356"/>
        <v/>
      </c>
      <c r="M525" s="2696" t="str">
        <f t="shared" si="356"/>
        <v/>
      </c>
      <c r="N525" s="2696" t="str">
        <f t="shared" si="356"/>
        <v/>
      </c>
      <c r="O525" s="2696" t="str">
        <f t="shared" si="356"/>
        <v/>
      </c>
      <c r="P525" s="2696" t="str">
        <f t="shared" si="356"/>
        <v/>
      </c>
    </row>
    <row r="526" spans="3:23">
      <c r="C526" s="360" t="s">
        <v>3938</v>
      </c>
      <c r="H526" s="1418" t="s">
        <v>3562</v>
      </c>
      <c r="I526" s="361"/>
      <c r="J526" s="358"/>
      <c r="K526" s="2695" t="str">
        <f t="shared" ref="K526:P526" si="357">IF(OR(K500=0,K505=0),"",K500/K505)</f>
        <v/>
      </c>
      <c r="L526" s="2695" t="str">
        <f t="shared" si="357"/>
        <v/>
      </c>
      <c r="M526" s="2695" t="str">
        <f t="shared" si="357"/>
        <v/>
      </c>
      <c r="N526" s="2695" t="str">
        <f t="shared" si="357"/>
        <v/>
      </c>
      <c r="O526" s="2695" t="str">
        <f t="shared" si="357"/>
        <v/>
      </c>
      <c r="P526" s="2695" t="str">
        <f t="shared" si="357"/>
        <v/>
      </c>
    </row>
    <row r="527" spans="3:23">
      <c r="C527" s="360"/>
      <c r="D527" s="360"/>
      <c r="E527" s="360"/>
      <c r="H527" s="1418" t="s">
        <v>5083</v>
      </c>
      <c r="I527" s="361"/>
      <c r="J527" s="358"/>
      <c r="K527" s="2696" t="str">
        <f>IF(OR(K500=0,P526="",K505=0),"",P526*K505)</f>
        <v/>
      </c>
      <c r="L527" s="2696" t="str">
        <f>IF(OR(L500=0,P526="",L505=0),"",P526*L505)</f>
        <v/>
      </c>
      <c r="M527" s="2696" t="str">
        <f>IF(OR(M500=0,P526="",M505=0),"",P526*M505)</f>
        <v/>
      </c>
      <c r="N527" s="2696" t="str">
        <f>IF(OR(N500=0,P526="",N505=0),"",P526*N505)</f>
        <v/>
      </c>
      <c r="O527" s="2696" t="str">
        <f>IF(OR(O500=0,P526="",O505=0),"",P526*O505)</f>
        <v/>
      </c>
      <c r="P527" s="2696" t="str">
        <f>IF(OR(P526="",P505=0),"",P526*P505)</f>
        <v/>
      </c>
    </row>
    <row r="528" spans="3:23">
      <c r="C528" s="360"/>
      <c r="D528" s="360"/>
      <c r="E528" s="360"/>
      <c r="G528" s="2678"/>
      <c r="H528" s="1418" t="s">
        <v>5084</v>
      </c>
      <c r="I528" s="361"/>
      <c r="J528" s="358"/>
      <c r="K528" s="2696" t="str">
        <f t="shared" ref="K528:P528" si="358">IF(OR(K527="",K500=0),"", K500-K527)</f>
        <v/>
      </c>
      <c r="L528" s="2696" t="str">
        <f t="shared" si="358"/>
        <v/>
      </c>
      <c r="M528" s="2696" t="str">
        <f t="shared" si="358"/>
        <v/>
      </c>
      <c r="N528" s="2696" t="str">
        <f t="shared" si="358"/>
        <v/>
      </c>
      <c r="O528" s="2696" t="str">
        <f t="shared" si="358"/>
        <v/>
      </c>
      <c r="P528" s="2696" t="str">
        <f t="shared" si="358"/>
        <v/>
      </c>
    </row>
    <row r="529" spans="1:343" ht="12" customHeight="1">
      <c r="A529" s="2685"/>
      <c r="B529" s="2685"/>
      <c r="C529" s="358"/>
      <c r="D529" s="358"/>
      <c r="E529" s="358"/>
      <c r="F529" s="358"/>
      <c r="H529" s="1418"/>
      <c r="I529" s="361"/>
      <c r="K529" s="2697"/>
      <c r="L529" s="2697"/>
      <c r="M529" s="2697"/>
      <c r="N529" s="2697"/>
      <c r="O529" s="2697"/>
      <c r="P529" s="2697"/>
      <c r="U529" s="2650"/>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7"/>
      <c r="KB529" s="1657"/>
      <c r="KG529" s="1657"/>
      <c r="KL529" s="1657"/>
      <c r="KM529" s="1657"/>
      <c r="KN529" s="1657"/>
      <c r="KO529" s="1657"/>
      <c r="KP529" s="1657"/>
      <c r="KQ529" s="1657"/>
      <c r="KR529" s="1657"/>
      <c r="KS529" s="1657"/>
      <c r="KT529" s="1657"/>
      <c r="KU529" s="1657"/>
      <c r="KV529" s="1657"/>
      <c r="KW529" s="1657"/>
      <c r="KX529" s="1657"/>
      <c r="KY529" s="1657"/>
      <c r="KZ529" s="1657"/>
      <c r="LA529" s="1657"/>
      <c r="LB529" s="1657"/>
      <c r="LC529" s="1657"/>
      <c r="LD529" s="1657"/>
      <c r="LE529" s="1657"/>
      <c r="LF529" s="1657"/>
      <c r="LG529" s="1657"/>
      <c r="LN529" s="360"/>
      <c r="LO529" s="360"/>
      <c r="ME529" s="360"/>
    </row>
    <row r="530" spans="1:343" ht="9" customHeight="1">
      <c r="A530" s="2685"/>
      <c r="B530" s="2685"/>
      <c r="C530" s="358"/>
      <c r="D530" s="358"/>
      <c r="E530" s="358"/>
      <c r="F530" s="358"/>
      <c r="H530" s="1418"/>
      <c r="I530" s="361"/>
      <c r="K530" s="2697"/>
      <c r="L530" s="2697"/>
      <c r="M530" s="2697"/>
      <c r="N530" s="2697"/>
      <c r="O530" s="2697"/>
      <c r="P530" s="2697"/>
      <c r="S530" s="2473" t="str">
        <f>C531</f>
        <v>PBRA-Assisted</v>
      </c>
      <c r="U530" s="2650"/>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7"/>
      <c r="KB530" s="1657"/>
      <c r="KG530" s="1657"/>
      <c r="KL530" s="1657"/>
      <c r="KM530" s="1657"/>
      <c r="KN530" s="1657"/>
      <c r="KO530" s="1657"/>
      <c r="KP530" s="1657"/>
      <c r="KQ530" s="1657"/>
      <c r="KR530" s="1657"/>
      <c r="KS530" s="1657"/>
      <c r="KT530" s="1657"/>
      <c r="KU530" s="1657"/>
      <c r="KV530" s="1657"/>
      <c r="KW530" s="1657"/>
      <c r="KX530" s="1657"/>
      <c r="KY530" s="1657"/>
      <c r="KZ530" s="1657"/>
      <c r="LA530" s="1657"/>
      <c r="LB530" s="1657"/>
      <c r="LC530" s="1657"/>
      <c r="LD530" s="1657"/>
      <c r="LE530" s="1657"/>
      <c r="LF530" s="1657"/>
      <c r="LG530" s="1657"/>
      <c r="LN530" s="360"/>
      <c r="LO530" s="360"/>
      <c r="ME530" s="360"/>
    </row>
    <row r="531" spans="1:343" ht="15" customHeight="1">
      <c r="A531" s="2685"/>
      <c r="B531" s="2685"/>
      <c r="C531" s="358" t="s">
        <v>874</v>
      </c>
      <c r="D531" s="358"/>
      <c r="E531" s="1418"/>
      <c r="F531" s="358"/>
      <c r="H531" s="1418" t="s">
        <v>3558</v>
      </c>
      <c r="I531" s="361"/>
      <c r="K531" s="2698">
        <f>CP487</f>
        <v>0</v>
      </c>
      <c r="L531" s="2698">
        <f>CQ487</f>
        <v>0</v>
      </c>
      <c r="M531" s="2698">
        <f>CR487</f>
        <v>0</v>
      </c>
      <c r="N531" s="2698">
        <f>CS487</f>
        <v>0</v>
      </c>
      <c r="O531" s="2698">
        <f>CT487</f>
        <v>0</v>
      </c>
      <c r="P531" s="2686">
        <f t="shared" ref="P531:P538" si="359">SUM(K531:O531)</f>
        <v>0</v>
      </c>
      <c r="S531" s="2672"/>
      <c r="T531" s="2672"/>
      <c r="U531" s="2672"/>
      <c r="V531" s="2672"/>
      <c r="W531" s="2672"/>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7"/>
      <c r="KB531" s="1657"/>
      <c r="KG531" s="1657"/>
      <c r="KL531" s="1657"/>
      <c r="KM531" s="1657"/>
      <c r="KN531" s="1657"/>
      <c r="KO531" s="1657"/>
      <c r="KP531" s="1657"/>
      <c r="KQ531" s="1657"/>
      <c r="KR531" s="1657"/>
      <c r="KS531" s="1657"/>
      <c r="KT531" s="1657"/>
      <c r="KU531" s="1657"/>
      <c r="KV531" s="1657"/>
      <c r="KW531" s="1657"/>
      <c r="KX531" s="1657"/>
      <c r="KY531" s="1657"/>
      <c r="KZ531" s="1657"/>
      <c r="LA531" s="1657"/>
      <c r="LB531" s="1657"/>
      <c r="LC531" s="1657"/>
      <c r="LD531" s="1657"/>
      <c r="LE531" s="1657"/>
      <c r="LF531" s="1657"/>
      <c r="LG531" s="1657"/>
      <c r="LN531" s="360"/>
      <c r="LO531" s="360"/>
      <c r="ME531" s="360"/>
    </row>
    <row r="532" spans="1:343" ht="15" customHeight="1">
      <c r="A532" s="2685"/>
      <c r="B532" s="2685"/>
      <c r="C532" s="361" t="s">
        <v>2304</v>
      </c>
      <c r="D532" s="358"/>
      <c r="E532" s="1418"/>
      <c r="F532" s="358"/>
      <c r="H532" s="1418" t="s">
        <v>3559</v>
      </c>
      <c r="I532" s="361"/>
      <c r="K532" s="2686">
        <f>CK487</f>
        <v>0</v>
      </c>
      <c r="L532" s="2686">
        <f>CL487</f>
        <v>0</v>
      </c>
      <c r="M532" s="2686">
        <f>CM487</f>
        <v>0</v>
      </c>
      <c r="N532" s="2686">
        <f>CN487</f>
        <v>0</v>
      </c>
      <c r="O532" s="2686">
        <f>CO487</f>
        <v>0</v>
      </c>
      <c r="P532" s="2686">
        <f t="shared" si="359"/>
        <v>0</v>
      </c>
      <c r="S532" s="2672"/>
      <c r="T532" s="2672"/>
      <c r="U532" s="2672"/>
      <c r="V532" s="2672"/>
      <c r="W532" s="2672"/>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7"/>
      <c r="KB532" s="1657"/>
      <c r="KG532" s="1657"/>
      <c r="KL532" s="1657"/>
      <c r="KM532" s="1657"/>
      <c r="KN532" s="1657"/>
      <c r="KO532" s="1657"/>
      <c r="KP532" s="1657"/>
      <c r="KQ532" s="1657"/>
      <c r="KR532" s="1657"/>
      <c r="KS532" s="1657"/>
      <c r="KT532" s="1657"/>
      <c r="KU532" s="1657"/>
      <c r="KV532" s="1657"/>
      <c r="KW532" s="1657"/>
      <c r="KX532" s="1657"/>
      <c r="KY532" s="1657"/>
      <c r="KZ532" s="1657"/>
      <c r="LA532" s="1657"/>
      <c r="LB532" s="1657"/>
      <c r="LC532" s="1657"/>
      <c r="LD532" s="1657"/>
      <c r="LE532" s="1657"/>
      <c r="LF532" s="1657"/>
      <c r="LG532" s="1657"/>
      <c r="LN532" s="360"/>
      <c r="LO532" s="360"/>
      <c r="ME532" s="360"/>
    </row>
    <row r="533" spans="1:343" ht="14.45" customHeight="1">
      <c r="A533" s="2685"/>
      <c r="B533" s="2685"/>
      <c r="C533" s="358"/>
      <c r="D533" s="358"/>
      <c r="E533" s="1418"/>
      <c r="F533" s="358"/>
      <c r="H533" s="1418" t="s">
        <v>1080</v>
      </c>
      <c r="I533" s="361"/>
      <c r="K533" s="2686">
        <f>CF487</f>
        <v>0</v>
      </c>
      <c r="L533" s="2686">
        <f>CG487</f>
        <v>0</v>
      </c>
      <c r="M533" s="2686">
        <f>CH487</f>
        <v>0</v>
      </c>
      <c r="N533" s="2686">
        <f>CI487</f>
        <v>0</v>
      </c>
      <c r="O533" s="2686">
        <f>CJ487</f>
        <v>0</v>
      </c>
      <c r="P533" s="2686">
        <f t="shared" si="359"/>
        <v>0</v>
      </c>
      <c r="S533" s="2672"/>
      <c r="T533" s="2672"/>
      <c r="U533" s="2672"/>
      <c r="V533" s="2672"/>
      <c r="W533" s="2672"/>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7"/>
      <c r="KB533" s="1657"/>
      <c r="KG533" s="1657"/>
      <c r="KL533" s="1657"/>
      <c r="KM533" s="1657"/>
      <c r="KN533" s="1657"/>
      <c r="KO533" s="1657"/>
      <c r="KP533" s="1657"/>
      <c r="KQ533" s="1657"/>
      <c r="KR533" s="1657"/>
      <c r="KS533" s="1657"/>
      <c r="KT533" s="1657"/>
      <c r="KU533" s="1657"/>
      <c r="KV533" s="1657"/>
      <c r="KW533" s="1657"/>
      <c r="KX533" s="1657"/>
      <c r="KY533" s="1657"/>
      <c r="KZ533" s="1657"/>
      <c r="LA533" s="1657"/>
      <c r="LB533" s="1657"/>
      <c r="LC533" s="1657"/>
      <c r="LD533" s="1657"/>
      <c r="LE533" s="1657"/>
      <c r="LF533" s="1657"/>
      <c r="LG533" s="1657"/>
      <c r="LN533" s="360"/>
      <c r="LO533" s="360"/>
      <c r="ME533" s="360"/>
    </row>
    <row r="534" spans="1:343" ht="15" customHeight="1">
      <c r="A534" s="2685"/>
      <c r="B534" s="2685"/>
      <c r="C534" s="358"/>
      <c r="D534" s="358"/>
      <c r="E534" s="1418"/>
      <c r="F534" s="358"/>
      <c r="H534" s="1418" t="s">
        <v>112</v>
      </c>
      <c r="I534" s="361"/>
      <c r="K534" s="2686">
        <f>CA487</f>
        <v>0</v>
      </c>
      <c r="L534" s="2686">
        <f>CB487</f>
        <v>0</v>
      </c>
      <c r="M534" s="2686">
        <f>CC487</f>
        <v>0</v>
      </c>
      <c r="N534" s="2686">
        <f>CD487</f>
        <v>0</v>
      </c>
      <c r="O534" s="2686">
        <f>CE487</f>
        <v>0</v>
      </c>
      <c r="P534" s="2686">
        <f t="shared" si="359"/>
        <v>0</v>
      </c>
      <c r="S534" s="2672"/>
      <c r="T534" s="2672"/>
      <c r="U534" s="2672"/>
      <c r="V534" s="2672"/>
      <c r="W534" s="2672"/>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7"/>
      <c r="KB534" s="1657"/>
      <c r="KG534" s="1657"/>
      <c r="KL534" s="1657"/>
      <c r="KM534" s="1657"/>
      <c r="KN534" s="1657"/>
      <c r="KO534" s="1657"/>
      <c r="KP534" s="1657"/>
      <c r="KQ534" s="1657"/>
      <c r="KR534" s="1657"/>
      <c r="KS534" s="1657"/>
      <c r="KT534" s="1657"/>
      <c r="KU534" s="1657"/>
      <c r="KV534" s="1657"/>
      <c r="KW534" s="1657"/>
      <c r="KX534" s="1657"/>
      <c r="KY534" s="1657"/>
      <c r="KZ534" s="1657"/>
      <c r="LA534" s="1657"/>
      <c r="LB534" s="1657"/>
      <c r="LC534" s="1657"/>
      <c r="LD534" s="1657"/>
      <c r="LE534" s="1657"/>
      <c r="LF534" s="1657"/>
      <c r="LG534" s="1657"/>
      <c r="LN534" s="360"/>
      <c r="LO534" s="360"/>
      <c r="ME534" s="360"/>
    </row>
    <row r="535" spans="1:343" ht="15" customHeight="1">
      <c r="A535" s="2685"/>
      <c r="B535" s="2685"/>
      <c r="C535" s="358"/>
      <c r="D535" s="358"/>
      <c r="E535" s="1418"/>
      <c r="F535" s="358"/>
      <c r="H535" s="1418" t="s">
        <v>3560</v>
      </c>
      <c r="I535" s="361"/>
      <c r="K535" s="2686">
        <f>BV487</f>
        <v>0</v>
      </c>
      <c r="L535" s="2686">
        <f>BW487</f>
        <v>0</v>
      </c>
      <c r="M535" s="2686">
        <f>BX487</f>
        <v>0</v>
      </c>
      <c r="N535" s="2686">
        <f>BY487</f>
        <v>0</v>
      </c>
      <c r="O535" s="2686">
        <f>BZ487</f>
        <v>0</v>
      </c>
      <c r="P535" s="2686">
        <f t="shared" si="359"/>
        <v>0</v>
      </c>
      <c r="S535" s="2672"/>
      <c r="T535" s="2672"/>
      <c r="U535" s="2672"/>
      <c r="V535" s="2672"/>
      <c r="W535" s="2672"/>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7"/>
      <c r="KB535" s="1657"/>
      <c r="KG535" s="1657"/>
      <c r="KL535" s="1657"/>
      <c r="KM535" s="1657"/>
      <c r="KN535" s="1657"/>
      <c r="KO535" s="1657"/>
      <c r="KP535" s="1657"/>
      <c r="KQ535" s="1657"/>
      <c r="KR535" s="1657"/>
      <c r="KS535" s="1657"/>
      <c r="KT535" s="1657"/>
      <c r="KU535" s="1657"/>
      <c r="KV535" s="1657"/>
      <c r="KW535" s="1657"/>
      <c r="KX535" s="1657"/>
      <c r="KY535" s="1657"/>
      <c r="KZ535" s="1657"/>
      <c r="LA535" s="1657"/>
      <c r="LB535" s="1657"/>
      <c r="LC535" s="1657"/>
      <c r="LD535" s="1657"/>
      <c r="LE535" s="1657"/>
      <c r="LF535" s="1657"/>
      <c r="LG535" s="1657"/>
      <c r="LN535" s="360"/>
      <c r="LO535" s="360"/>
      <c r="ME535" s="360"/>
    </row>
    <row r="536" spans="1:343" ht="15" customHeight="1">
      <c r="A536" s="1545"/>
      <c r="B536" s="1545"/>
      <c r="C536" s="358"/>
      <c r="D536" s="358"/>
      <c r="E536" s="1418"/>
      <c r="F536" s="358"/>
      <c r="H536" s="1418" t="s">
        <v>3561</v>
      </c>
      <c r="I536" s="361"/>
      <c r="K536" s="2686">
        <f>BQ487</f>
        <v>0</v>
      </c>
      <c r="L536" s="2686">
        <f>BR487</f>
        <v>0</v>
      </c>
      <c r="M536" s="2686">
        <f>BS487</f>
        <v>0</v>
      </c>
      <c r="N536" s="2686">
        <f>BT487</f>
        <v>0</v>
      </c>
      <c r="O536" s="2686">
        <f>BU487</f>
        <v>0</v>
      </c>
      <c r="P536" s="2686">
        <f t="shared" si="359"/>
        <v>0</v>
      </c>
      <c r="S536" s="2672"/>
      <c r="T536" s="2672"/>
      <c r="U536" s="2672"/>
      <c r="V536" s="2672"/>
      <c r="W536" s="2672"/>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7"/>
      <c r="KB536" s="1657"/>
      <c r="KG536" s="1657"/>
      <c r="KL536" s="1657"/>
      <c r="KM536" s="1657"/>
      <c r="KN536" s="1657"/>
      <c r="KO536" s="1657"/>
      <c r="KP536" s="1657"/>
      <c r="KQ536" s="1657"/>
      <c r="KR536" s="1657"/>
      <c r="KS536" s="1657"/>
      <c r="KT536" s="1657"/>
      <c r="KU536" s="1657"/>
      <c r="KV536" s="1657"/>
      <c r="KW536" s="1657"/>
      <c r="KX536" s="1657"/>
      <c r="KY536" s="1657"/>
      <c r="KZ536" s="1657"/>
      <c r="LA536" s="1657"/>
      <c r="LB536" s="1657"/>
      <c r="LC536" s="1657"/>
      <c r="LD536" s="1657"/>
      <c r="LE536" s="1657"/>
      <c r="LF536" s="1657"/>
      <c r="LG536" s="1657"/>
      <c r="LN536" s="360"/>
      <c r="LO536" s="360"/>
      <c r="ME536" s="360"/>
    </row>
    <row r="537" spans="1:343" ht="15" customHeight="1">
      <c r="A537" s="1545"/>
      <c r="B537" s="1545"/>
      <c r="D537" s="358"/>
      <c r="E537" s="1418"/>
      <c r="F537" s="358"/>
      <c r="H537" s="1418" t="s">
        <v>3562</v>
      </c>
      <c r="I537" s="361"/>
      <c r="K537" s="2698">
        <f>BL487</f>
        <v>0</v>
      </c>
      <c r="L537" s="2698">
        <f>BM487</f>
        <v>0</v>
      </c>
      <c r="M537" s="2698">
        <f>BN487</f>
        <v>0</v>
      </c>
      <c r="N537" s="2698">
        <f>BO487</f>
        <v>0</v>
      </c>
      <c r="O537" s="2698">
        <f>BP487</f>
        <v>0</v>
      </c>
      <c r="P537" s="2686">
        <f t="shared" si="359"/>
        <v>0</v>
      </c>
      <c r="S537" s="2672"/>
      <c r="T537" s="2672"/>
      <c r="U537" s="2672"/>
      <c r="V537" s="2672"/>
      <c r="W537" s="2672"/>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7"/>
      <c r="KB537" s="1657"/>
      <c r="KG537" s="1657"/>
      <c r="KL537" s="1657"/>
      <c r="KM537" s="1657"/>
      <c r="KN537" s="1657"/>
      <c r="KO537" s="1657"/>
      <c r="KP537" s="1657"/>
      <c r="KQ537" s="1657"/>
      <c r="KR537" s="1657"/>
      <c r="KS537" s="1657"/>
      <c r="KT537" s="1657"/>
      <c r="KU537" s="1657"/>
      <c r="KV537" s="1657"/>
      <c r="KW537" s="1657"/>
      <c r="KX537" s="1657"/>
      <c r="KY537" s="1657"/>
      <c r="KZ537" s="1657"/>
      <c r="LA537" s="1657"/>
      <c r="LB537" s="1657"/>
      <c r="LC537" s="1657"/>
      <c r="LD537" s="1657"/>
      <c r="LE537" s="1657"/>
      <c r="LF537" s="1657"/>
      <c r="LG537" s="1657"/>
      <c r="LN537" s="360"/>
      <c r="LO537" s="360"/>
      <c r="ME537" s="360"/>
    </row>
    <row r="538" spans="1:343" ht="15" customHeight="1">
      <c r="A538" s="1545"/>
      <c r="B538" s="1545"/>
      <c r="C538" s="1656"/>
      <c r="D538" s="358"/>
      <c r="E538" s="1418"/>
      <c r="F538" s="358"/>
      <c r="H538" s="1545" t="s">
        <v>503</v>
      </c>
      <c r="I538" s="2673"/>
      <c r="K538" s="2692">
        <f>SUM(K531:K537)</f>
        <v>0</v>
      </c>
      <c r="L538" s="2692">
        <f>SUM(L531:L537)</f>
        <v>0</v>
      </c>
      <c r="M538" s="2692">
        <f>SUM(M531:M537)</f>
        <v>0</v>
      </c>
      <c r="N538" s="2692">
        <f>SUM(N531:N537)</f>
        <v>0</v>
      </c>
      <c r="O538" s="2692">
        <f>SUM(O531:O537)</f>
        <v>0</v>
      </c>
      <c r="P538" s="2692">
        <f t="shared" si="359"/>
        <v>0</v>
      </c>
      <c r="S538" s="2672"/>
      <c r="T538" s="2672"/>
      <c r="U538" s="2672"/>
      <c r="V538" s="2672"/>
      <c r="W538" s="2672"/>
      <c r="X538" s="1656"/>
      <c r="AA538" s="358"/>
      <c r="AB538" s="361"/>
      <c r="AC538" s="1656"/>
      <c r="AF538" s="358"/>
      <c r="AG538" s="361"/>
      <c r="AH538" s="1656"/>
      <c r="AK538" s="358"/>
      <c r="AL538" s="361"/>
      <c r="AM538" s="1656"/>
      <c r="AP538" s="358"/>
      <c r="AQ538" s="361"/>
      <c r="AR538" s="362"/>
      <c r="AS538" s="362"/>
      <c r="AT538" s="362"/>
      <c r="AU538" s="362"/>
      <c r="AV538" s="362"/>
      <c r="AW538" s="362"/>
      <c r="AX538" s="361"/>
      <c r="AY538" s="358"/>
      <c r="BB538" s="362"/>
      <c r="BC538" s="361"/>
      <c r="BD538" s="358"/>
      <c r="JW538" s="1657"/>
      <c r="KB538" s="1657"/>
      <c r="KG538" s="1657"/>
      <c r="KL538" s="1657"/>
      <c r="KM538" s="1657"/>
      <c r="KN538" s="1657"/>
      <c r="KO538" s="1657"/>
      <c r="KP538" s="1657"/>
      <c r="KQ538" s="1657"/>
      <c r="KR538" s="1657"/>
      <c r="KS538" s="1657"/>
      <c r="KT538" s="1657"/>
      <c r="KU538" s="1657"/>
      <c r="KV538" s="1657"/>
      <c r="KW538" s="1657"/>
      <c r="KX538" s="1657"/>
      <c r="KY538" s="1657"/>
      <c r="KZ538" s="1657"/>
      <c r="LA538" s="1657"/>
      <c r="LB538" s="1657"/>
      <c r="LC538" s="1657"/>
      <c r="LD538" s="1657"/>
      <c r="LE538" s="1657"/>
      <c r="LF538" s="1657"/>
      <c r="LG538" s="1657"/>
      <c r="LN538" s="360"/>
      <c r="LO538" s="360"/>
      <c r="ME538" s="360"/>
    </row>
    <row r="539" spans="1:343" ht="5.0999999999999996" customHeight="1">
      <c r="A539" s="1545"/>
      <c r="B539" s="1545"/>
      <c r="C539" s="358"/>
      <c r="D539" s="358"/>
      <c r="E539" s="358"/>
      <c r="F539" s="358"/>
      <c r="H539" s="1418"/>
      <c r="I539" s="361"/>
      <c r="K539" s="2697"/>
      <c r="L539" s="2697"/>
      <c r="M539" s="2697"/>
      <c r="N539" s="2697"/>
      <c r="O539" s="2697"/>
      <c r="P539" s="2697"/>
      <c r="U539" s="2650"/>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7"/>
      <c r="KB539" s="1657"/>
      <c r="KG539" s="1657"/>
      <c r="KL539" s="1657"/>
      <c r="KM539" s="1657"/>
      <c r="KN539" s="1657"/>
      <c r="KO539" s="1657"/>
      <c r="KP539" s="1657"/>
      <c r="KQ539" s="1657"/>
      <c r="KR539" s="1657"/>
      <c r="KS539" s="1657"/>
      <c r="KT539" s="1657"/>
      <c r="KU539" s="1657"/>
      <c r="KV539" s="1657"/>
      <c r="KW539" s="1657"/>
      <c r="KX539" s="1657"/>
      <c r="KY539" s="1657"/>
      <c r="KZ539" s="1657"/>
      <c r="LA539" s="1657"/>
      <c r="LB539" s="1657"/>
      <c r="LC539" s="1657"/>
      <c r="LD539" s="1657"/>
      <c r="LE539" s="1657"/>
      <c r="LF539" s="1657"/>
      <c r="LG539" s="1657"/>
      <c r="LN539" s="360"/>
      <c r="LO539" s="360"/>
      <c r="ME539" s="360"/>
    </row>
    <row r="540" spans="1:343" ht="14.65" customHeight="1">
      <c r="A540" s="360" t="s">
        <v>688</v>
      </c>
      <c r="B540" s="360" t="s">
        <v>5086</v>
      </c>
      <c r="H540" s="359"/>
      <c r="L540" s="2699" t="str">
        <f>O491</f>
        <v>40% of Units at 60% of AMI</v>
      </c>
      <c r="M540" s="2699"/>
      <c r="N540" s="2699"/>
      <c r="O540" s="2699"/>
      <c r="S540" s="1656" t="str">
        <f>B540</f>
        <v>UNIT SUMMARY (Continued)</v>
      </c>
      <c r="T540" s="1656"/>
      <c r="U540" s="1656"/>
      <c r="V540" s="1656"/>
      <c r="AY540" s="358"/>
      <c r="BD540" s="358"/>
      <c r="JW540" s="1657"/>
      <c r="KB540" s="1657"/>
      <c r="KG540" s="1657"/>
      <c r="KL540" s="1657"/>
      <c r="KM540" s="1657"/>
      <c r="KN540" s="1657"/>
      <c r="KO540" s="1657"/>
      <c r="KP540" s="1657"/>
      <c r="KQ540" s="1657"/>
      <c r="KR540" s="1657"/>
      <c r="KS540" s="1657"/>
      <c r="KT540" s="1657"/>
      <c r="KU540" s="1657"/>
      <c r="KV540" s="1657"/>
      <c r="KW540" s="1657"/>
      <c r="KX540" s="1657"/>
      <c r="KY540" s="1657"/>
      <c r="KZ540" s="1657"/>
      <c r="LA540" s="1657"/>
      <c r="LB540" s="1657"/>
      <c r="LC540" s="1657"/>
      <c r="LD540" s="1657"/>
      <c r="LE540" s="1657"/>
      <c r="LF540" s="1657"/>
      <c r="LG540" s="1657"/>
      <c r="LN540" s="360"/>
      <c r="LO540" s="360"/>
      <c r="ME540" s="360"/>
    </row>
    <row r="541" spans="1:343" ht="9" customHeight="1">
      <c r="A541" s="360"/>
      <c r="B541" s="360"/>
      <c r="H541" s="359"/>
      <c r="S541" s="2473" t="str">
        <f>C542</f>
        <v>PHA Operating Subsidy-Assisted</v>
      </c>
      <c r="T541" s="360"/>
      <c r="U541" s="2645"/>
      <c r="AY541" s="358"/>
      <c r="BD541" s="358"/>
      <c r="JW541" s="1657"/>
      <c r="KB541" s="1657"/>
      <c r="KG541" s="1657"/>
      <c r="KL541" s="1657"/>
      <c r="KM541" s="1657"/>
      <c r="KN541" s="1657"/>
      <c r="KO541" s="1657"/>
      <c r="KP541" s="1657"/>
      <c r="KQ541" s="1657"/>
      <c r="KR541" s="1657"/>
      <c r="KS541" s="1657"/>
      <c r="KT541" s="1657"/>
      <c r="KU541" s="1657"/>
      <c r="KV541" s="1657"/>
      <c r="KW541" s="1657"/>
      <c r="KX541" s="1657"/>
      <c r="KY541" s="1657"/>
      <c r="KZ541" s="1657"/>
      <c r="LA541" s="1657"/>
      <c r="LB541" s="1657"/>
      <c r="LC541" s="1657"/>
      <c r="LD541" s="1657"/>
      <c r="LE541" s="1657"/>
      <c r="LF541" s="1657"/>
      <c r="LG541" s="1657"/>
      <c r="LN541" s="360"/>
      <c r="LO541" s="360"/>
      <c r="ME541" s="360"/>
    </row>
    <row r="542" spans="1:343" ht="13.5" customHeight="1">
      <c r="A542" s="1545"/>
      <c r="B542" s="1545"/>
      <c r="C542" s="2672" t="s">
        <v>831</v>
      </c>
      <c r="D542" s="2672"/>
      <c r="E542" s="2672"/>
      <c r="F542" s="358"/>
      <c r="H542" s="1418" t="s">
        <v>3558</v>
      </c>
      <c r="I542" s="361"/>
      <c r="K542" s="2698">
        <f>DY487</f>
        <v>0</v>
      </c>
      <c r="L542" s="2698">
        <f>DZ487</f>
        <v>0</v>
      </c>
      <c r="M542" s="2698">
        <f>EA487</f>
        <v>0</v>
      </c>
      <c r="N542" s="2698">
        <f>EB487</f>
        <v>0</v>
      </c>
      <c r="O542" s="2698">
        <f>EC487</f>
        <v>0</v>
      </c>
      <c r="P542" s="2686">
        <f t="shared" ref="P542:P549" si="360">SUM(K542:O542)</f>
        <v>0</v>
      </c>
      <c r="S542" s="2672"/>
      <c r="T542" s="2672"/>
      <c r="U542" s="2672"/>
      <c r="V542" s="2672"/>
      <c r="W542" s="2672"/>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7"/>
      <c r="KB542" s="1657"/>
      <c r="KG542" s="1657"/>
      <c r="KL542" s="1657"/>
      <c r="KM542" s="1657"/>
      <c r="KN542" s="1657"/>
      <c r="KO542" s="1657"/>
      <c r="KP542" s="1657"/>
      <c r="KQ542" s="1657"/>
      <c r="KR542" s="1657"/>
      <c r="KS542" s="1657"/>
      <c r="KT542" s="1657"/>
      <c r="KU542" s="1657"/>
      <c r="KV542" s="1657"/>
      <c r="KW542" s="1657"/>
      <c r="KX542" s="1657"/>
      <c r="KY542" s="1657"/>
      <c r="KZ542" s="1657"/>
      <c r="LA542" s="1657"/>
      <c r="LB542" s="1657"/>
      <c r="LC542" s="1657"/>
      <c r="LD542" s="1657"/>
      <c r="LE542" s="1657"/>
      <c r="LF542" s="1657"/>
      <c r="LG542" s="1657"/>
      <c r="LN542" s="360"/>
      <c r="LO542" s="360"/>
      <c r="ME542" s="360"/>
    </row>
    <row r="543" spans="1:343" ht="13.5" customHeight="1">
      <c r="A543" s="1545"/>
      <c r="B543" s="1545"/>
      <c r="C543" s="361" t="s">
        <v>2304</v>
      </c>
      <c r="D543" s="2672"/>
      <c r="E543" s="2672"/>
      <c r="F543" s="358"/>
      <c r="H543" s="1418" t="s">
        <v>3559</v>
      </c>
      <c r="I543" s="361"/>
      <c r="K543" s="2686">
        <f>DT487</f>
        <v>0</v>
      </c>
      <c r="L543" s="2686">
        <f>DU487</f>
        <v>0</v>
      </c>
      <c r="M543" s="2686">
        <f>DV487</f>
        <v>0</v>
      </c>
      <c r="N543" s="2686">
        <f>DW487</f>
        <v>0</v>
      </c>
      <c r="O543" s="2686">
        <f>DX487</f>
        <v>0</v>
      </c>
      <c r="P543" s="2686">
        <f t="shared" si="360"/>
        <v>0</v>
      </c>
      <c r="S543" s="2672"/>
      <c r="T543" s="2672"/>
      <c r="U543" s="2672"/>
      <c r="V543" s="2672"/>
      <c r="W543" s="2672"/>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7"/>
      <c r="KB543" s="1657"/>
      <c r="KG543" s="1657"/>
      <c r="KL543" s="1657"/>
      <c r="KM543" s="1657"/>
      <c r="KN543" s="1657"/>
      <c r="KO543" s="1657"/>
      <c r="KP543" s="1657"/>
      <c r="KQ543" s="1657"/>
      <c r="KR543" s="1657"/>
      <c r="KS543" s="1657"/>
      <c r="KT543" s="1657"/>
      <c r="KU543" s="1657"/>
      <c r="KV543" s="1657"/>
      <c r="KW543" s="1657"/>
      <c r="KX543" s="1657"/>
      <c r="KY543" s="1657"/>
      <c r="KZ543" s="1657"/>
      <c r="LA543" s="1657"/>
      <c r="LB543" s="1657"/>
      <c r="LC543" s="1657"/>
      <c r="LD543" s="1657"/>
      <c r="LE543" s="1657"/>
      <c r="LF543" s="1657"/>
      <c r="LG543" s="1657"/>
      <c r="LN543" s="360"/>
      <c r="LO543" s="360"/>
      <c r="ME543" s="360"/>
    </row>
    <row r="544" spans="1:343" ht="13.5" customHeight="1">
      <c r="A544" s="1545"/>
      <c r="B544" s="1545"/>
      <c r="C544" s="2672"/>
      <c r="D544" s="2672"/>
      <c r="E544" s="2672"/>
      <c r="F544" s="358"/>
      <c r="H544" s="1418" t="s">
        <v>1080</v>
      </c>
      <c r="I544" s="361"/>
      <c r="K544" s="2686">
        <f>DO487</f>
        <v>0</v>
      </c>
      <c r="L544" s="2686">
        <f>DP487</f>
        <v>0</v>
      </c>
      <c r="M544" s="2686">
        <f>DQ487</f>
        <v>0</v>
      </c>
      <c r="N544" s="2686">
        <f>DR487</f>
        <v>0</v>
      </c>
      <c r="O544" s="2686">
        <f>DS487</f>
        <v>0</v>
      </c>
      <c r="P544" s="2686">
        <f t="shared" si="360"/>
        <v>0</v>
      </c>
      <c r="S544" s="2672"/>
      <c r="T544" s="2672"/>
      <c r="U544" s="2672"/>
      <c r="V544" s="2672"/>
      <c r="W544" s="2672"/>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7"/>
      <c r="KB544" s="1657"/>
      <c r="KG544" s="1657"/>
      <c r="KL544" s="1657"/>
      <c r="KM544" s="1657"/>
      <c r="KN544" s="1657"/>
      <c r="KO544" s="1657"/>
      <c r="KP544" s="1657"/>
      <c r="KQ544" s="1657"/>
      <c r="KR544" s="1657"/>
      <c r="KS544" s="1657"/>
      <c r="KT544" s="1657"/>
      <c r="KU544" s="1657"/>
      <c r="KV544" s="1657"/>
      <c r="KW544" s="1657"/>
      <c r="KX544" s="1657"/>
      <c r="KY544" s="1657"/>
      <c r="KZ544" s="1657"/>
      <c r="LA544" s="1657"/>
      <c r="LB544" s="1657"/>
      <c r="LC544" s="1657"/>
      <c r="LD544" s="1657"/>
      <c r="LE544" s="1657"/>
      <c r="LF544" s="1657"/>
      <c r="LG544" s="1657"/>
      <c r="LN544" s="360"/>
      <c r="LO544" s="360"/>
      <c r="ME544" s="360"/>
    </row>
    <row r="545" spans="1:343" ht="13.5" customHeight="1">
      <c r="A545" s="1545"/>
      <c r="B545" s="1545"/>
      <c r="C545" s="2672"/>
      <c r="D545" s="2672"/>
      <c r="E545" s="2672"/>
      <c r="F545" s="358"/>
      <c r="H545" s="1418" t="s">
        <v>112</v>
      </c>
      <c r="I545" s="361"/>
      <c r="K545" s="2686">
        <f>DJ487</f>
        <v>0</v>
      </c>
      <c r="L545" s="2686">
        <f>DK487</f>
        <v>0</v>
      </c>
      <c r="M545" s="2686">
        <f>DL487</f>
        <v>0</v>
      </c>
      <c r="N545" s="2686">
        <f>DM487</f>
        <v>0</v>
      </c>
      <c r="O545" s="2686">
        <f>DN487</f>
        <v>0</v>
      </c>
      <c r="P545" s="2686">
        <f t="shared" si="360"/>
        <v>0</v>
      </c>
      <c r="S545" s="2672"/>
      <c r="T545" s="2672"/>
      <c r="U545" s="2672"/>
      <c r="V545" s="2672"/>
      <c r="W545" s="2672"/>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7"/>
      <c r="KB545" s="1657"/>
      <c r="KG545" s="1657"/>
      <c r="KL545" s="1657"/>
      <c r="KM545" s="1657"/>
      <c r="KN545" s="1657"/>
      <c r="KO545" s="1657"/>
      <c r="KP545" s="1657"/>
      <c r="KQ545" s="1657"/>
      <c r="KR545" s="1657"/>
      <c r="KS545" s="1657"/>
      <c r="KT545" s="1657"/>
      <c r="KU545" s="1657"/>
      <c r="KV545" s="1657"/>
      <c r="KW545" s="1657"/>
      <c r="KX545" s="1657"/>
      <c r="KY545" s="1657"/>
      <c r="KZ545" s="1657"/>
      <c r="LA545" s="1657"/>
      <c r="LB545" s="1657"/>
      <c r="LC545" s="1657"/>
      <c r="LD545" s="1657"/>
      <c r="LE545" s="1657"/>
      <c r="LF545" s="1657"/>
      <c r="LG545" s="1657"/>
      <c r="LN545" s="360"/>
      <c r="LO545" s="360"/>
      <c r="ME545" s="360"/>
    </row>
    <row r="546" spans="1:343" ht="13.5" customHeight="1">
      <c r="A546" s="1545"/>
      <c r="B546" s="1545"/>
      <c r="C546" s="2672"/>
      <c r="D546" s="2672"/>
      <c r="E546" s="2672"/>
      <c r="F546" s="358"/>
      <c r="H546" s="1418" t="s">
        <v>3560</v>
      </c>
      <c r="I546" s="361"/>
      <c r="K546" s="2686">
        <f>DE487</f>
        <v>0</v>
      </c>
      <c r="L546" s="2686">
        <f>DF487</f>
        <v>0</v>
      </c>
      <c r="M546" s="2686">
        <f>DG487</f>
        <v>0</v>
      </c>
      <c r="N546" s="2686">
        <f>DH487</f>
        <v>0</v>
      </c>
      <c r="O546" s="2686">
        <f>DI487</f>
        <v>0</v>
      </c>
      <c r="P546" s="2686">
        <f t="shared" si="360"/>
        <v>0</v>
      </c>
      <c r="S546" s="2672"/>
      <c r="T546" s="2672"/>
      <c r="U546" s="2672"/>
      <c r="V546" s="2672"/>
      <c r="W546" s="2672"/>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7"/>
      <c r="KB546" s="1657"/>
      <c r="KG546" s="1657"/>
      <c r="KL546" s="1657"/>
      <c r="KM546" s="1657"/>
      <c r="KN546" s="1657"/>
      <c r="KO546" s="1657"/>
      <c r="KP546" s="1657"/>
      <c r="KQ546" s="1657"/>
      <c r="KR546" s="1657"/>
      <c r="KS546" s="1657"/>
      <c r="KT546" s="1657"/>
      <c r="KU546" s="1657"/>
      <c r="KV546" s="1657"/>
      <c r="KW546" s="1657"/>
      <c r="KX546" s="1657"/>
      <c r="KY546" s="1657"/>
      <c r="KZ546" s="1657"/>
      <c r="LA546" s="1657"/>
      <c r="LB546" s="1657"/>
      <c r="LC546" s="1657"/>
      <c r="LD546" s="1657"/>
      <c r="LE546" s="1657"/>
      <c r="LF546" s="1657"/>
      <c r="LG546" s="1657"/>
      <c r="LN546" s="360"/>
      <c r="LO546" s="360"/>
      <c r="ME546" s="360"/>
    </row>
    <row r="547" spans="1:343" ht="13.5" customHeight="1">
      <c r="A547" s="1545"/>
      <c r="B547" s="1545"/>
      <c r="C547" s="2672"/>
      <c r="D547" s="2672"/>
      <c r="E547" s="2672"/>
      <c r="F547" s="358"/>
      <c r="H547" s="1418" t="s">
        <v>3561</v>
      </c>
      <c r="I547" s="361"/>
      <c r="K547" s="2686">
        <f>CZ487</f>
        <v>0</v>
      </c>
      <c r="L547" s="2686">
        <f>DA487</f>
        <v>0</v>
      </c>
      <c r="M547" s="2686">
        <f>DB487</f>
        <v>0</v>
      </c>
      <c r="N547" s="2686">
        <f>DC487</f>
        <v>0</v>
      </c>
      <c r="O547" s="2686">
        <f>DD487</f>
        <v>0</v>
      </c>
      <c r="P547" s="2686">
        <f t="shared" si="360"/>
        <v>0</v>
      </c>
      <c r="S547" s="2672"/>
      <c r="T547" s="2672"/>
      <c r="U547" s="2672"/>
      <c r="V547" s="2672"/>
      <c r="W547" s="2672"/>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7"/>
      <c r="KB547" s="1657"/>
      <c r="KG547" s="1657"/>
      <c r="KL547" s="1657"/>
      <c r="KM547" s="1657"/>
      <c r="KN547" s="1657"/>
      <c r="KO547" s="1657"/>
      <c r="KP547" s="1657"/>
      <c r="KQ547" s="1657"/>
      <c r="KR547" s="1657"/>
      <c r="KS547" s="1657"/>
      <c r="KT547" s="1657"/>
      <c r="KU547" s="1657"/>
      <c r="KV547" s="1657"/>
      <c r="KW547" s="1657"/>
      <c r="KX547" s="1657"/>
      <c r="KY547" s="1657"/>
      <c r="KZ547" s="1657"/>
      <c r="LA547" s="1657"/>
      <c r="LB547" s="1657"/>
      <c r="LC547" s="1657"/>
      <c r="LD547" s="1657"/>
      <c r="LE547" s="1657"/>
      <c r="LF547" s="1657"/>
      <c r="LG547" s="1657"/>
      <c r="LN547" s="360"/>
      <c r="LO547" s="360"/>
      <c r="ME547" s="360"/>
    </row>
    <row r="548" spans="1:343" ht="13.5" customHeight="1">
      <c r="A548" s="1545"/>
      <c r="B548" s="1545"/>
      <c r="C548" s="2672"/>
      <c r="D548" s="2672"/>
      <c r="E548" s="2672"/>
      <c r="F548" s="358"/>
      <c r="H548" s="1418" t="s">
        <v>3562</v>
      </c>
      <c r="I548" s="361"/>
      <c r="K548" s="2698">
        <f>CU487</f>
        <v>0</v>
      </c>
      <c r="L548" s="2698">
        <f>CV487</f>
        <v>0</v>
      </c>
      <c r="M548" s="2698">
        <f>CW487</f>
        <v>0</v>
      </c>
      <c r="N548" s="2698">
        <f>CX487</f>
        <v>0</v>
      </c>
      <c r="O548" s="2698">
        <f>CY487</f>
        <v>0</v>
      </c>
      <c r="P548" s="2686">
        <f t="shared" si="360"/>
        <v>0</v>
      </c>
      <c r="S548" s="2672"/>
      <c r="T548" s="2672"/>
      <c r="U548" s="2672"/>
      <c r="V548" s="2672"/>
      <c r="W548" s="2672"/>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7"/>
      <c r="KB548" s="1657"/>
      <c r="KG548" s="1657"/>
      <c r="KL548" s="1657"/>
      <c r="KM548" s="1657"/>
      <c r="KN548" s="1657"/>
      <c r="KO548" s="1657"/>
      <c r="KP548" s="1657"/>
      <c r="KQ548" s="1657"/>
      <c r="KR548" s="1657"/>
      <c r="KS548" s="1657"/>
      <c r="KT548" s="1657"/>
      <c r="KU548" s="1657"/>
      <c r="KV548" s="1657"/>
      <c r="KW548" s="1657"/>
      <c r="KX548" s="1657"/>
      <c r="KY548" s="1657"/>
      <c r="KZ548" s="1657"/>
      <c r="LA548" s="1657"/>
      <c r="LB548" s="1657"/>
      <c r="LC548" s="1657"/>
      <c r="LD548" s="1657"/>
      <c r="LE548" s="1657"/>
      <c r="LF548" s="1657"/>
      <c r="LG548" s="1657"/>
      <c r="LN548" s="360"/>
      <c r="LO548" s="360"/>
      <c r="ME548" s="360"/>
    </row>
    <row r="549" spans="1:343" ht="15" customHeight="1">
      <c r="A549" s="1545"/>
      <c r="B549" s="1545"/>
      <c r="D549" s="358"/>
      <c r="E549" s="1418"/>
      <c r="F549" s="358"/>
      <c r="H549" s="1545" t="s">
        <v>503</v>
      </c>
      <c r="I549" s="2673"/>
      <c r="K549" s="2692">
        <f>SUM(K542:K548)</f>
        <v>0</v>
      </c>
      <c r="L549" s="2692">
        <f>SUM(L542:L548)</f>
        <v>0</v>
      </c>
      <c r="M549" s="2692">
        <f>SUM(M542:M548)</f>
        <v>0</v>
      </c>
      <c r="N549" s="2692">
        <f>SUM(N542:N548)</f>
        <v>0</v>
      </c>
      <c r="O549" s="2692">
        <f>SUM(O542:O548)</f>
        <v>0</v>
      </c>
      <c r="P549" s="2692">
        <f t="shared" si="360"/>
        <v>0</v>
      </c>
      <c r="S549" s="2672"/>
      <c r="T549" s="2672"/>
      <c r="U549" s="2672"/>
      <c r="V549" s="2672"/>
      <c r="W549" s="2672"/>
      <c r="X549" s="1656"/>
      <c r="AA549" s="358"/>
      <c r="AB549" s="361"/>
      <c r="AC549" s="1656"/>
      <c r="AF549" s="358"/>
      <c r="AG549" s="361"/>
      <c r="AH549" s="1656"/>
      <c r="AK549" s="358"/>
      <c r="AL549" s="361"/>
      <c r="AM549" s="1656"/>
      <c r="AP549" s="358"/>
      <c r="AQ549" s="361"/>
      <c r="AR549" s="362"/>
      <c r="AS549" s="362"/>
      <c r="AT549" s="362"/>
      <c r="AU549" s="362"/>
      <c r="AV549" s="362"/>
      <c r="AW549" s="362"/>
      <c r="AX549" s="361"/>
      <c r="AY549" s="358"/>
      <c r="BB549" s="362"/>
      <c r="BC549" s="361"/>
      <c r="BD549" s="358"/>
      <c r="JW549" s="1657"/>
      <c r="KB549" s="1657"/>
      <c r="KG549" s="1657"/>
      <c r="KL549" s="1657"/>
      <c r="KM549" s="1657"/>
      <c r="KN549" s="1657"/>
      <c r="KO549" s="1657"/>
      <c r="KP549" s="1657"/>
      <c r="KQ549" s="1657"/>
      <c r="KR549" s="1657"/>
      <c r="KS549" s="1657"/>
      <c r="KT549" s="1657"/>
      <c r="KU549" s="1657"/>
      <c r="KV549" s="1657"/>
      <c r="KW549" s="1657"/>
      <c r="KX549" s="1657"/>
      <c r="KY549" s="1657"/>
      <c r="KZ549" s="1657"/>
      <c r="LA549" s="1657"/>
      <c r="LB549" s="1657"/>
      <c r="LC549" s="1657"/>
      <c r="LD549" s="1657"/>
      <c r="LE549" s="1657"/>
      <c r="LF549" s="1657"/>
      <c r="LG549" s="1657"/>
      <c r="LN549" s="360"/>
      <c r="LO549" s="360"/>
      <c r="ME549" s="360"/>
    </row>
    <row r="550" spans="1:343" ht="9" customHeight="1">
      <c r="A550" s="1545"/>
      <c r="B550" s="1545"/>
      <c r="D550" s="358"/>
      <c r="E550" s="1418"/>
      <c r="F550" s="358"/>
      <c r="H550" s="1418"/>
      <c r="I550" s="361"/>
      <c r="K550" s="2697"/>
      <c r="L550" s="2697"/>
      <c r="M550" s="2697"/>
      <c r="N550" s="2697"/>
      <c r="O550" s="2697"/>
      <c r="P550" s="2697"/>
      <c r="S550" s="2473" t="str">
        <f>C551</f>
        <v>Type of Construction Activity</v>
      </c>
      <c r="U550" s="2650"/>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7"/>
      <c r="KB550" s="1657"/>
      <c r="KG550" s="1657"/>
      <c r="KL550" s="1657"/>
      <c r="KM550" s="1657"/>
      <c r="KN550" s="1657"/>
      <c r="KO550" s="1657"/>
      <c r="KP550" s="1657"/>
      <c r="KQ550" s="1657"/>
      <c r="KR550" s="1657"/>
      <c r="KS550" s="1657"/>
      <c r="KT550" s="1657"/>
      <c r="KU550" s="1657"/>
      <c r="KV550" s="1657"/>
      <c r="KW550" s="1657"/>
      <c r="KX550" s="1657"/>
      <c r="KY550" s="1657"/>
      <c r="KZ550" s="1657"/>
      <c r="LA550" s="1657"/>
      <c r="LB550" s="1657"/>
      <c r="LC550" s="1657"/>
      <c r="LD550" s="1657"/>
      <c r="LE550" s="1657"/>
      <c r="LF550" s="1657"/>
      <c r="LG550" s="1657"/>
      <c r="LN550" s="360"/>
      <c r="LO550" s="360"/>
      <c r="ME550" s="360"/>
    </row>
    <row r="551" spans="1:343" ht="12.95" customHeight="1">
      <c r="A551" s="1545"/>
      <c r="B551" s="1545"/>
      <c r="C551" s="2672" t="s">
        <v>35</v>
      </c>
      <c r="D551" s="2672"/>
      <c r="E551" s="1418" t="s">
        <v>4828</v>
      </c>
      <c r="F551" s="358"/>
      <c r="H551" s="1418" t="s">
        <v>1341</v>
      </c>
      <c r="I551" s="361"/>
      <c r="K551" s="2686">
        <f>GG487</f>
        <v>0</v>
      </c>
      <c r="L551" s="2686">
        <f>GH487</f>
        <v>12</v>
      </c>
      <c r="M551" s="2686">
        <f>GI487</f>
        <v>24</v>
      </c>
      <c r="N551" s="2686">
        <f>GJ487</f>
        <v>24</v>
      </c>
      <c r="O551" s="2686">
        <f>GK487</f>
        <v>0</v>
      </c>
      <c r="P551" s="2686">
        <f t="shared" ref="P551:P561" si="361">SUM(K551:O551)</f>
        <v>60</v>
      </c>
      <c r="S551" s="2672"/>
      <c r="T551" s="2672"/>
      <c r="U551" s="2672"/>
      <c r="V551" s="2672"/>
      <c r="W551" s="2672"/>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5"/>
      <c r="B552" s="1545"/>
      <c r="C552" s="2672"/>
      <c r="D552" s="2672"/>
      <c r="E552" s="1418"/>
      <c r="F552" s="358"/>
      <c r="H552" s="1418" t="s">
        <v>290</v>
      </c>
      <c r="I552" s="361"/>
      <c r="K552" s="2686">
        <f>GL487</f>
        <v>0</v>
      </c>
      <c r="L552" s="2686">
        <f>GM487</f>
        <v>4</v>
      </c>
      <c r="M552" s="2686">
        <f>GN487</f>
        <v>8</v>
      </c>
      <c r="N552" s="2686">
        <f>GO487</f>
        <v>8</v>
      </c>
      <c r="O552" s="2686">
        <f>GP487</f>
        <v>0</v>
      </c>
      <c r="P552" s="2686">
        <f t="shared" si="361"/>
        <v>20</v>
      </c>
      <c r="S552" s="2672"/>
      <c r="T552" s="2672"/>
      <c r="U552" s="2672"/>
      <c r="V552" s="2672"/>
      <c r="W552" s="2672"/>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7"/>
      <c r="KB552" s="1657"/>
      <c r="KG552" s="1657"/>
      <c r="KL552" s="1657"/>
      <c r="KM552" s="1657"/>
      <c r="KN552" s="1657"/>
      <c r="KO552" s="1657"/>
      <c r="KP552" s="1657"/>
      <c r="KQ552" s="1657"/>
      <c r="KR552" s="1657"/>
      <c r="KS552" s="1657"/>
      <c r="KT552" s="1657"/>
      <c r="KU552" s="1657"/>
      <c r="KV552" s="1657"/>
      <c r="KW552" s="1657"/>
      <c r="KX552" s="1657"/>
      <c r="KY552" s="1657"/>
      <c r="KZ552" s="1657"/>
      <c r="LA552" s="1657"/>
      <c r="LB552" s="1657"/>
      <c r="LC552" s="1657"/>
      <c r="LD552" s="1657"/>
      <c r="LE552" s="1657"/>
      <c r="LF552" s="1657"/>
      <c r="LG552" s="1657"/>
      <c r="LN552" s="360"/>
      <c r="LO552" s="360"/>
      <c r="ME552" s="360"/>
    </row>
    <row r="553" spans="1:343" ht="14.25" customHeight="1">
      <c r="A553" s="1545"/>
      <c r="B553" s="1545"/>
      <c r="C553" s="2672"/>
      <c r="D553" s="2672"/>
      <c r="E553" s="1418"/>
      <c r="F553" s="358"/>
      <c r="H553" s="1545" t="s">
        <v>29</v>
      </c>
      <c r="I553" s="2555" t="s">
        <v>4835</v>
      </c>
      <c r="J553" s="2700">
        <f>IF($P$67=0,0,P553/$P$67)</f>
        <v>0</v>
      </c>
      <c r="K553" s="2692">
        <f>SUM(K551:K552)+GQ487</f>
        <v>0</v>
      </c>
      <c r="L553" s="2692">
        <f>SUM(L551:L552)+GR487</f>
        <v>16</v>
      </c>
      <c r="M553" s="2692">
        <f>SUM(M551:M552)+GS487</f>
        <v>32</v>
      </c>
      <c r="N553" s="2692">
        <f>SUM(N551:N552)+GT487</f>
        <v>32</v>
      </c>
      <c r="O553" s="2692">
        <f>SUM(O551:O552)+GU487</f>
        <v>0</v>
      </c>
      <c r="P553" s="2692">
        <f t="shared" si="361"/>
        <v>80</v>
      </c>
      <c r="S553" s="2672"/>
      <c r="T553" s="2672"/>
      <c r="U553" s="2672"/>
      <c r="V553" s="2672"/>
      <c r="W553" s="2672"/>
      <c r="X553" s="1656"/>
      <c r="AA553" s="358"/>
      <c r="AB553" s="361"/>
      <c r="AC553" s="1656"/>
      <c r="AF553" s="358"/>
      <c r="AG553" s="361"/>
      <c r="AH553" s="1656"/>
      <c r="AK553" s="358"/>
      <c r="AL553" s="361"/>
      <c r="AM553" s="1656"/>
      <c r="AP553" s="358"/>
      <c r="AQ553" s="361"/>
      <c r="AR553" s="362"/>
      <c r="AS553" s="362"/>
      <c r="AT553" s="362"/>
      <c r="AU553" s="362"/>
      <c r="AV553" s="362"/>
      <c r="AW553" s="362"/>
      <c r="AX553" s="361"/>
      <c r="AY553" s="358"/>
      <c r="BB553" s="362"/>
      <c r="BC553" s="361"/>
      <c r="BD553" s="358"/>
      <c r="JW553" s="1657"/>
      <c r="KB553" s="1657"/>
      <c r="KG553" s="1657"/>
      <c r="KL553" s="1657"/>
      <c r="KM553" s="1657"/>
      <c r="KN553" s="1657"/>
      <c r="KO553" s="1657"/>
      <c r="KP553" s="1657"/>
      <c r="KQ553" s="1657"/>
      <c r="KR553" s="1657"/>
      <c r="KS553" s="1657"/>
      <c r="KT553" s="1657"/>
      <c r="KU553" s="1657"/>
      <c r="KV553" s="1657"/>
      <c r="KW553" s="1657"/>
      <c r="KX553" s="1657"/>
      <c r="KY553" s="1657"/>
      <c r="KZ553" s="1657"/>
      <c r="LA553" s="1657"/>
      <c r="LB553" s="1657"/>
      <c r="LC553" s="1657"/>
      <c r="LD553" s="1657"/>
      <c r="LE553" s="1657"/>
      <c r="LF553" s="1657"/>
      <c r="LG553" s="1657"/>
      <c r="LN553" s="360"/>
      <c r="LO553" s="360"/>
      <c r="ME553" s="360"/>
    </row>
    <row r="554" spans="1:343" ht="12.95" customHeight="1">
      <c r="A554" s="1545"/>
      <c r="B554" s="1545"/>
      <c r="C554" s="2672"/>
      <c r="D554" s="2672"/>
      <c r="E554" s="1418" t="s">
        <v>1978</v>
      </c>
      <c r="F554" s="358"/>
      <c r="H554" s="1418" t="s">
        <v>1341</v>
      </c>
      <c r="I554" s="361"/>
      <c r="K554" s="2686">
        <f>GV487</f>
        <v>0</v>
      </c>
      <c r="L554" s="2686">
        <f>GW487</f>
        <v>0</v>
      </c>
      <c r="M554" s="2686">
        <f>GX487</f>
        <v>0</v>
      </c>
      <c r="N554" s="2686">
        <f>GY487</f>
        <v>0</v>
      </c>
      <c r="O554" s="2686">
        <f>GZ487</f>
        <v>0</v>
      </c>
      <c r="P554" s="2686">
        <f t="shared" si="361"/>
        <v>0</v>
      </c>
      <c r="S554" s="2672"/>
      <c r="T554" s="2672"/>
      <c r="U554" s="2672"/>
      <c r="V554" s="2672"/>
      <c r="W554" s="2672"/>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5"/>
      <c r="B555" s="1545"/>
      <c r="C555" s="2672"/>
      <c r="D555" s="2672"/>
      <c r="E555" s="1418"/>
      <c r="F555" s="358"/>
      <c r="H555" s="1418" t="s">
        <v>290</v>
      </c>
      <c r="I555" s="361"/>
      <c r="K555" s="2686">
        <f>HA487</f>
        <v>0</v>
      </c>
      <c r="L555" s="2686">
        <f>HB487</f>
        <v>0</v>
      </c>
      <c r="M555" s="2686">
        <f>HC487</f>
        <v>0</v>
      </c>
      <c r="N555" s="2686">
        <f>HD487</f>
        <v>0</v>
      </c>
      <c r="O555" s="2686">
        <f>HE487</f>
        <v>0</v>
      </c>
      <c r="P555" s="2686">
        <f t="shared" si="361"/>
        <v>0</v>
      </c>
      <c r="S555" s="2672"/>
      <c r="T555" s="2672"/>
      <c r="U555" s="2672"/>
      <c r="V555" s="2672"/>
      <c r="W555" s="2672"/>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7"/>
      <c r="KB555" s="1657"/>
      <c r="KG555" s="1657"/>
      <c r="KL555" s="1657"/>
      <c r="KM555" s="1657"/>
      <c r="KN555" s="1657"/>
      <c r="KO555" s="1657"/>
      <c r="KP555" s="1657"/>
      <c r="KQ555" s="1657"/>
      <c r="KR555" s="1657"/>
      <c r="KS555" s="1657"/>
      <c r="KT555" s="1657"/>
      <c r="KU555" s="1657"/>
      <c r="KV555" s="1657"/>
      <c r="KW555" s="1657"/>
      <c r="KX555" s="1657"/>
      <c r="KY555" s="1657"/>
      <c r="KZ555" s="1657"/>
      <c r="LA555" s="1657"/>
      <c r="LB555" s="1657"/>
      <c r="LC555" s="1657"/>
      <c r="LD555" s="1657"/>
      <c r="LE555" s="1657"/>
      <c r="LF555" s="1657"/>
      <c r="LG555" s="1657"/>
      <c r="LN555" s="360"/>
      <c r="LO555" s="360"/>
      <c r="ME555" s="360"/>
    </row>
    <row r="556" spans="1:343" ht="14.25" customHeight="1">
      <c r="A556" s="1545"/>
      <c r="B556" s="1545"/>
      <c r="C556" s="2672"/>
      <c r="D556" s="2672"/>
      <c r="E556" s="1418"/>
      <c r="F556" s="358"/>
      <c r="H556" s="1545" t="s">
        <v>29</v>
      </c>
      <c r="I556" s="2555" t="s">
        <v>4835</v>
      </c>
      <c r="J556" s="2700">
        <f>IF($P$67=0,0,P556/$P$67)</f>
        <v>0</v>
      </c>
      <c r="K556" s="2692">
        <f>SUM(K554:K555)+HF487</f>
        <v>0</v>
      </c>
      <c r="L556" s="2692">
        <f>SUM(L554:L555)+HG487</f>
        <v>0</v>
      </c>
      <c r="M556" s="2692">
        <f>SUM(M554:M555)+HH487</f>
        <v>0</v>
      </c>
      <c r="N556" s="2692">
        <f>SUM(N554:N555)+HI487</f>
        <v>0</v>
      </c>
      <c r="O556" s="2692">
        <f>SUM(O554:O555)+HJ487</f>
        <v>0</v>
      </c>
      <c r="P556" s="2692">
        <f t="shared" si="361"/>
        <v>0</v>
      </c>
      <c r="S556" s="2672"/>
      <c r="T556" s="2672"/>
      <c r="U556" s="2672"/>
      <c r="V556" s="2672"/>
      <c r="W556" s="2672"/>
      <c r="X556" s="1656"/>
      <c r="AA556" s="358"/>
      <c r="AB556" s="361"/>
      <c r="AC556" s="1656"/>
      <c r="AF556" s="358"/>
      <c r="AG556" s="361"/>
      <c r="AH556" s="1656"/>
      <c r="AK556" s="358"/>
      <c r="AL556" s="361"/>
      <c r="AM556" s="1656"/>
      <c r="AP556" s="358"/>
      <c r="AQ556" s="361"/>
      <c r="AR556" s="362"/>
      <c r="AS556" s="362"/>
      <c r="AT556" s="362"/>
      <c r="AU556" s="362"/>
      <c r="AV556" s="362"/>
      <c r="AW556" s="362"/>
      <c r="AX556" s="361"/>
      <c r="AY556" s="358"/>
      <c r="BB556" s="362"/>
      <c r="BC556" s="361"/>
      <c r="BD556" s="358"/>
      <c r="JW556" s="1657"/>
      <c r="KB556" s="1657"/>
      <c r="KG556" s="1657"/>
      <c r="KL556" s="1657"/>
      <c r="KM556" s="1657"/>
      <c r="KN556" s="1657"/>
      <c r="KO556" s="1657"/>
      <c r="KP556" s="1657"/>
      <c r="KQ556" s="1657"/>
      <c r="KR556" s="1657"/>
      <c r="KS556" s="1657"/>
      <c r="KT556" s="1657"/>
      <c r="KU556" s="1657"/>
      <c r="KV556" s="1657"/>
      <c r="KW556" s="1657"/>
      <c r="KX556" s="1657"/>
      <c r="KY556" s="1657"/>
      <c r="KZ556" s="1657"/>
      <c r="LA556" s="1657"/>
      <c r="LB556" s="1657"/>
      <c r="LC556" s="1657"/>
      <c r="LD556" s="1657"/>
      <c r="LE556" s="1657"/>
      <c r="LF556" s="1657"/>
      <c r="LG556" s="1657"/>
      <c r="LN556" s="360"/>
      <c r="LO556" s="360"/>
      <c r="ME556" s="360"/>
    </row>
    <row r="557" spans="1:343" ht="12.95" customHeight="1">
      <c r="A557" s="1545"/>
      <c r="B557" s="1545"/>
      <c r="C557" s="2646"/>
      <c r="D557" s="358"/>
      <c r="E557" s="2646" t="s">
        <v>1335</v>
      </c>
      <c r="F557" s="2646"/>
      <c r="H557" s="1418" t="s">
        <v>1341</v>
      </c>
      <c r="I557" s="361"/>
      <c r="K557" s="2686">
        <f>HK487</f>
        <v>0</v>
      </c>
      <c r="L557" s="2686">
        <f>HL487</f>
        <v>0</v>
      </c>
      <c r="M557" s="2686">
        <f>HM487</f>
        <v>0</v>
      </c>
      <c r="N557" s="2686">
        <f>HN487</f>
        <v>0</v>
      </c>
      <c r="O557" s="2686">
        <f>HO487</f>
        <v>0</v>
      </c>
      <c r="P557" s="2686">
        <f t="shared" si="361"/>
        <v>0</v>
      </c>
      <c r="S557" s="2672"/>
      <c r="T557" s="2672"/>
      <c r="U557" s="2672"/>
      <c r="V557" s="2672"/>
      <c r="W557" s="2672"/>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5"/>
      <c r="B558" s="1545"/>
      <c r="C558" s="2646"/>
      <c r="D558" s="358"/>
      <c r="E558" s="2646"/>
      <c r="F558" s="2646"/>
      <c r="H558" s="1418" t="s">
        <v>290</v>
      </c>
      <c r="I558" s="361"/>
      <c r="K558" s="2686">
        <f>HP487</f>
        <v>0</v>
      </c>
      <c r="L558" s="2686">
        <f>HQ487</f>
        <v>0</v>
      </c>
      <c r="M558" s="2686">
        <f>HR487</f>
        <v>0</v>
      </c>
      <c r="N558" s="2686">
        <f>HS487</f>
        <v>0</v>
      </c>
      <c r="O558" s="2686">
        <f>HT487</f>
        <v>0</v>
      </c>
      <c r="P558" s="2686">
        <f t="shared" si="361"/>
        <v>0</v>
      </c>
      <c r="S558" s="2672"/>
      <c r="T558" s="2672"/>
      <c r="U558" s="2672"/>
      <c r="V558" s="2672"/>
      <c r="W558" s="2672"/>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7"/>
      <c r="KB558" s="1657"/>
      <c r="KG558" s="1657"/>
      <c r="KL558" s="1657"/>
      <c r="KM558" s="1657"/>
      <c r="KN558" s="1657"/>
      <c r="KO558" s="1657"/>
      <c r="KP558" s="1657"/>
      <c r="KQ558" s="1657"/>
      <c r="KR558" s="1657"/>
      <c r="KS558" s="1657"/>
      <c r="KT558" s="1657"/>
      <c r="KU558" s="1657"/>
      <c r="KV558" s="1657"/>
      <c r="KW558" s="1657"/>
      <c r="KX558" s="1657"/>
      <c r="KY558" s="1657"/>
      <c r="KZ558" s="1657"/>
      <c r="LA558" s="1657"/>
      <c r="LB558" s="1657"/>
      <c r="LC558" s="1657"/>
      <c r="LD558" s="1657"/>
      <c r="LE558" s="1657"/>
      <c r="LF558" s="1657"/>
      <c r="LG558" s="1657"/>
      <c r="LN558" s="360"/>
      <c r="LO558" s="360"/>
      <c r="ME558" s="360"/>
    </row>
    <row r="559" spans="1:343" ht="14.25" customHeight="1">
      <c r="A559" s="1545"/>
      <c r="B559" s="1545"/>
      <c r="C559" s="2646"/>
      <c r="D559" s="358"/>
      <c r="E559" s="1418"/>
      <c r="F559" s="358"/>
      <c r="H559" s="1545" t="s">
        <v>29</v>
      </c>
      <c r="I559" s="2555" t="s">
        <v>4835</v>
      </c>
      <c r="J559" s="2700">
        <f>IF($P$67=0,0,P559/$P$67)</f>
        <v>0</v>
      </c>
      <c r="K559" s="2692">
        <f>SUM(K557:K558)+HU487</f>
        <v>0</v>
      </c>
      <c r="L559" s="2692">
        <f>SUM(L557:L558)+HV487</f>
        <v>0</v>
      </c>
      <c r="M559" s="2692">
        <f>SUM(M557:M558)+HW487</f>
        <v>0</v>
      </c>
      <c r="N559" s="2692">
        <f>SUM(N557:N558)+HX487</f>
        <v>0</v>
      </c>
      <c r="O559" s="2692">
        <f>SUM(O557:O558)+HY487</f>
        <v>0</v>
      </c>
      <c r="P559" s="2692">
        <f t="shared" si="361"/>
        <v>0</v>
      </c>
      <c r="S559" s="2672"/>
      <c r="T559" s="2672"/>
      <c r="U559" s="2672"/>
      <c r="V559" s="2672"/>
      <c r="W559" s="2672"/>
      <c r="X559" s="1656"/>
      <c r="AA559" s="358"/>
      <c r="AB559" s="361"/>
      <c r="AC559" s="1656"/>
      <c r="AF559" s="358"/>
      <c r="AG559" s="361"/>
      <c r="AH559" s="1656"/>
      <c r="AK559" s="358"/>
      <c r="AL559" s="361"/>
      <c r="AM559" s="1656"/>
      <c r="AP559" s="358"/>
      <c r="AQ559" s="361"/>
      <c r="AR559" s="362"/>
      <c r="AS559" s="362"/>
      <c r="AT559" s="362"/>
      <c r="AU559" s="362"/>
      <c r="AV559" s="362"/>
      <c r="AW559" s="362"/>
      <c r="AX559" s="361"/>
      <c r="AY559" s="358"/>
      <c r="BB559" s="362"/>
      <c r="BC559" s="361"/>
      <c r="BD559" s="358"/>
      <c r="JW559" s="1657"/>
      <c r="KB559" s="1657"/>
      <c r="KG559" s="1657"/>
      <c r="KL559" s="1657"/>
      <c r="KM559" s="1657"/>
      <c r="KN559" s="1657"/>
      <c r="KO559" s="1657"/>
      <c r="KP559" s="1657"/>
      <c r="KQ559" s="1657"/>
      <c r="KR559" s="1657"/>
      <c r="KS559" s="1657"/>
      <c r="KT559" s="1657"/>
      <c r="KU559" s="1657"/>
      <c r="KV559" s="1657"/>
      <c r="KW559" s="1657"/>
      <c r="KX559" s="1657"/>
      <c r="KY559" s="1657"/>
      <c r="KZ559" s="1657"/>
      <c r="LA559" s="1657"/>
      <c r="LB559" s="1657"/>
      <c r="LC559" s="1657"/>
      <c r="LD559" s="1657"/>
      <c r="LE559" s="1657"/>
      <c r="LF559" s="1657"/>
      <c r="LG559" s="1657"/>
      <c r="LN559" s="360"/>
      <c r="LO559" s="360"/>
      <c r="ME559" s="360"/>
    </row>
    <row r="560" spans="1:343" ht="14.25" customHeight="1">
      <c r="A560" s="1545"/>
      <c r="B560" s="1545"/>
      <c r="C560" s="2646"/>
      <c r="D560" s="358"/>
      <c r="E560" s="1418" t="s">
        <v>4829</v>
      </c>
      <c r="F560" s="358"/>
      <c r="G560" s="2505"/>
      <c r="H560" s="359"/>
      <c r="K560" s="2686">
        <f>'Part V-Revenues &amp; Expenses'!K122</f>
        <v>0</v>
      </c>
      <c r="L560" s="2686">
        <f>'Part V-Revenues &amp; Expenses'!L122</f>
        <v>0</v>
      </c>
      <c r="M560" s="2686">
        <f>'Part V-Revenues &amp; Expenses'!M122</f>
        <v>0</v>
      </c>
      <c r="N560" s="2686">
        <f>'Part V-Revenues &amp; Expenses'!N122</f>
        <v>0</v>
      </c>
      <c r="O560" s="2686">
        <f>'Part V-Revenues &amp; Expenses'!O122</f>
        <v>0</v>
      </c>
      <c r="P560" s="2686">
        <f t="shared" si="361"/>
        <v>0</v>
      </c>
      <c r="S560" s="2672"/>
      <c r="T560" s="2672"/>
      <c r="U560" s="2672"/>
      <c r="V560" s="2672"/>
      <c r="W560" s="2672"/>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7"/>
      <c r="KB560" s="1657"/>
      <c r="KG560" s="1657"/>
      <c r="KL560" s="1657"/>
      <c r="KM560" s="1657"/>
      <c r="KN560" s="1657"/>
      <c r="KO560" s="1657"/>
      <c r="KP560" s="1657"/>
      <c r="KQ560" s="1657"/>
      <c r="KR560" s="1657"/>
      <c r="KS560" s="1657"/>
      <c r="KT560" s="1657"/>
      <c r="KU560" s="1657"/>
      <c r="KV560" s="1657"/>
      <c r="KW560" s="1657"/>
      <c r="KX560" s="1657"/>
      <c r="KY560" s="1657"/>
      <c r="KZ560" s="1657"/>
      <c r="LA560" s="1657"/>
      <c r="LB560" s="1657"/>
      <c r="LC560" s="1657"/>
      <c r="LD560" s="1657"/>
      <c r="LE560" s="1657"/>
      <c r="LF560" s="1657"/>
      <c r="LG560" s="1657"/>
      <c r="LN560" s="360"/>
      <c r="LO560" s="360"/>
      <c r="ME560" s="360"/>
    </row>
    <row r="561" spans="1:343" ht="14.25" customHeight="1">
      <c r="A561" s="2649" t="str">
        <f>IF(AND('Part III-A-Uses of Funds'!$T$179="Yes",'Part VIII Scoring Criteria'!$O$339&gt;0,P561&lt;1),"SHOW HISTORIC UNITS HERE &gt;&gt;&gt;&gt;","")</f>
        <v/>
      </c>
      <c r="B561" s="2649"/>
      <c r="C561" s="2649"/>
      <c r="D561" s="2649"/>
      <c r="E561" s="1418" t="s">
        <v>5036</v>
      </c>
      <c r="F561" s="358"/>
      <c r="G561" s="2505"/>
      <c r="H561" s="359"/>
      <c r="K561" s="2686">
        <f>'Part V-Revenues &amp; Expenses'!K123</f>
        <v>0</v>
      </c>
      <c r="L561" s="2686">
        <f>'Part V-Revenues &amp; Expenses'!L123</f>
        <v>0</v>
      </c>
      <c r="M561" s="2686">
        <f>'Part V-Revenues &amp; Expenses'!M123</f>
        <v>0</v>
      </c>
      <c r="N561" s="2686">
        <f>'Part V-Revenues &amp; Expenses'!N123</f>
        <v>0</v>
      </c>
      <c r="O561" s="2686">
        <f>'Part V-Revenues &amp; Expenses'!O123</f>
        <v>0</v>
      </c>
      <c r="P561" s="2686">
        <f t="shared" si="361"/>
        <v>0</v>
      </c>
      <c r="S561" s="2672"/>
      <c r="T561" s="2672"/>
      <c r="U561" s="2672"/>
      <c r="V561" s="2672"/>
      <c r="W561" s="2672"/>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7"/>
      <c r="KB561" s="1657"/>
      <c r="KG561" s="1657"/>
      <c r="KL561" s="1657"/>
      <c r="KM561" s="1657"/>
      <c r="KN561" s="1657"/>
      <c r="KO561" s="1657"/>
      <c r="KP561" s="1657"/>
      <c r="KQ561" s="1657"/>
      <c r="KR561" s="1657"/>
      <c r="KS561" s="1657"/>
      <c r="KT561" s="1657"/>
      <c r="KU561" s="1657"/>
      <c r="KV561" s="1657"/>
      <c r="KW561" s="1657"/>
      <c r="KX561" s="1657"/>
      <c r="KY561" s="1657"/>
      <c r="KZ561" s="1657"/>
      <c r="LA561" s="1657"/>
      <c r="LB561" s="1657"/>
      <c r="LC561" s="1657"/>
      <c r="LD561" s="1657"/>
      <c r="LE561" s="1657"/>
      <c r="LF561" s="1657"/>
      <c r="LG561" s="1657"/>
      <c r="LN561" s="360"/>
      <c r="LO561" s="360"/>
      <c r="ME561" s="360"/>
    </row>
    <row r="562" spans="1:343" ht="9" customHeight="1">
      <c r="A562" s="2701"/>
      <c r="B562" s="2701"/>
      <c r="C562" s="2701"/>
      <c r="D562" s="2701"/>
      <c r="E562" s="1418"/>
      <c r="F562" s="358"/>
      <c r="G562" s="2505"/>
      <c r="H562" s="359"/>
      <c r="K562" s="361"/>
      <c r="L562" s="361"/>
      <c r="M562" s="361"/>
      <c r="N562" s="361"/>
      <c r="O562" s="361"/>
      <c r="P562" s="361"/>
      <c r="S562" s="2672"/>
      <c r="T562" s="2672"/>
      <c r="U562" s="2672"/>
      <c r="V562" s="2672"/>
      <c r="W562" s="2672"/>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7"/>
      <c r="KB562" s="1657"/>
      <c r="KG562" s="1657"/>
      <c r="KL562" s="1657"/>
      <c r="KM562" s="1657"/>
      <c r="KN562" s="1657"/>
      <c r="KO562" s="1657"/>
      <c r="KP562" s="1657"/>
      <c r="KQ562" s="1657"/>
      <c r="KR562" s="1657"/>
      <c r="KS562" s="1657"/>
      <c r="KT562" s="1657"/>
      <c r="KU562" s="1657"/>
      <c r="KV562" s="1657"/>
      <c r="KW562" s="1657"/>
      <c r="KX562" s="1657"/>
      <c r="KY562" s="1657"/>
      <c r="KZ562" s="1657"/>
      <c r="LA562" s="1657"/>
      <c r="LB562" s="1657"/>
      <c r="LC562" s="1657"/>
      <c r="LD562" s="1657"/>
      <c r="LE562" s="1657"/>
      <c r="LF562" s="1657"/>
      <c r="LG562" s="1657"/>
      <c r="LN562" s="360"/>
      <c r="LO562" s="360"/>
      <c r="ME562" s="360"/>
    </row>
    <row r="563" spans="1:343" ht="13.5" customHeight="1">
      <c r="A563" s="2701"/>
      <c r="B563" s="2701"/>
      <c r="C563" s="2701"/>
      <c r="D563" s="2701"/>
      <c r="E563" s="1418" t="s">
        <v>2925</v>
      </c>
      <c r="F563" s="358"/>
      <c r="G563" s="2505"/>
      <c r="H563" s="359"/>
      <c r="K563" s="2686">
        <f>K571+K575+K579+K581+K583+K585</f>
        <v>0</v>
      </c>
      <c r="L563" s="2686">
        <f>L571+L575+L579+L581+L583+L585</f>
        <v>0</v>
      </c>
      <c r="M563" s="2686">
        <f>M571+M575+M579+M581+M583+M585</f>
        <v>0</v>
      </c>
      <c r="N563" s="2686">
        <f>N571+N575+N579+N581+N583+N585</f>
        <v>0</v>
      </c>
      <c r="O563" s="2686">
        <f>O571+O575+O579+O581+O583+O585</f>
        <v>0</v>
      </c>
      <c r="P563" s="2686">
        <f>SUM(K563:O563)</f>
        <v>0</v>
      </c>
      <c r="S563" s="2672"/>
      <c r="T563" s="2672"/>
      <c r="U563" s="2672"/>
      <c r="V563" s="2672"/>
      <c r="W563" s="2672"/>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7"/>
      <c r="KB563" s="1657"/>
      <c r="KG563" s="1657"/>
      <c r="KL563" s="1657"/>
      <c r="KM563" s="1657"/>
      <c r="KN563" s="1657"/>
      <c r="KO563" s="1657"/>
      <c r="KP563" s="1657"/>
      <c r="KQ563" s="1657"/>
      <c r="KR563" s="1657"/>
      <c r="KS563" s="1657"/>
      <c r="KT563" s="1657"/>
      <c r="KU563" s="1657"/>
      <c r="KV563" s="1657"/>
      <c r="KW563" s="1657"/>
      <c r="KX563" s="1657"/>
      <c r="KY563" s="1657"/>
      <c r="KZ563" s="1657"/>
      <c r="LA563" s="1657"/>
      <c r="LB563" s="1657"/>
      <c r="LC563" s="1657"/>
      <c r="LD563" s="1657"/>
      <c r="LE563" s="1657"/>
      <c r="LF563" s="1657"/>
      <c r="LG563" s="1657"/>
      <c r="LN563" s="360"/>
      <c r="LO563" s="360"/>
      <c r="ME563" s="360"/>
    </row>
    <row r="564" spans="1:343" ht="14.25" customHeight="1">
      <c r="D564" s="358"/>
      <c r="E564" s="1418"/>
      <c r="F564" s="358"/>
      <c r="G564" s="2505"/>
      <c r="H564" s="359"/>
      <c r="K564" s="2697"/>
      <c r="L564" s="2697"/>
      <c r="M564" s="2697"/>
      <c r="N564" s="2697"/>
      <c r="O564" s="2697"/>
      <c r="P564" s="2697"/>
      <c r="U564" s="2650"/>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7"/>
      <c r="KB564" s="1657"/>
      <c r="KG564" s="1657"/>
      <c r="KL564" s="1657"/>
      <c r="KM564" s="1657"/>
      <c r="KN564" s="1657"/>
      <c r="KO564" s="1657"/>
      <c r="KP564" s="1657"/>
      <c r="KQ564" s="1657"/>
      <c r="KR564" s="1657"/>
      <c r="KS564" s="1657"/>
      <c r="KT564" s="1657"/>
      <c r="KU564" s="1657"/>
      <c r="KV564" s="1657"/>
      <c r="KW564" s="1657"/>
      <c r="KX564" s="1657"/>
      <c r="KY564" s="1657"/>
      <c r="KZ564" s="1657"/>
      <c r="LA564" s="1657"/>
      <c r="LB564" s="1657"/>
      <c r="LC564" s="1657"/>
      <c r="LD564" s="1657"/>
      <c r="LE564" s="1657"/>
      <c r="LF564" s="1657"/>
      <c r="LG564" s="1657"/>
      <c r="LN564" s="360"/>
      <c r="LO564" s="360"/>
      <c r="ME564" s="360"/>
    </row>
    <row r="565" spans="1:343" ht="13.5" customHeight="1">
      <c r="C565" s="2672" t="s">
        <v>4827</v>
      </c>
      <c r="D565" s="2672"/>
      <c r="E565" s="1418" t="s">
        <v>4767</v>
      </c>
      <c r="F565" s="358"/>
      <c r="G565" s="2505"/>
      <c r="H565" s="359"/>
      <c r="K565" s="2702">
        <f>'Part V-Revenues &amp; Expenses'!K127</f>
        <v>0</v>
      </c>
      <c r="L565" s="358" t="s">
        <v>4830</v>
      </c>
      <c r="M565" s="2505"/>
      <c r="N565" s="359"/>
      <c r="S565" s="2473"/>
      <c r="U565" s="2650"/>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7"/>
      <c r="KB565" s="1657"/>
      <c r="KG565" s="1657"/>
      <c r="KL565" s="1657"/>
      <c r="KM565" s="1657"/>
      <c r="KN565" s="1657"/>
      <c r="KO565" s="1657"/>
      <c r="KP565" s="1657"/>
      <c r="KQ565" s="1657"/>
      <c r="KR565" s="1657"/>
      <c r="KS565" s="1657"/>
      <c r="KT565" s="1657"/>
      <c r="KU565" s="1657"/>
      <c r="KV565" s="1657"/>
      <c r="KW565" s="1657"/>
      <c r="KX565" s="1657"/>
      <c r="KY565" s="1657"/>
      <c r="KZ565" s="1657"/>
      <c r="LA565" s="1657"/>
      <c r="LB565" s="1657"/>
      <c r="LC565" s="1657"/>
      <c r="LD565" s="1657"/>
      <c r="LE565" s="1657"/>
      <c r="LF565" s="1657"/>
      <c r="LG565" s="1657"/>
      <c r="LN565" s="360"/>
      <c r="LO565" s="360"/>
      <c r="ME565" s="360"/>
    </row>
    <row r="566" spans="1:343" ht="13.5" customHeight="1">
      <c r="C566" s="2672"/>
      <c r="D566" s="2672"/>
      <c r="E566" s="1418"/>
      <c r="K566" s="2702">
        <f>'Part V-Revenues &amp; Expenses'!K128</f>
        <v>0</v>
      </c>
      <c r="L566" s="2672" t="s">
        <v>4831</v>
      </c>
      <c r="M566" s="2672"/>
      <c r="N566" s="2672"/>
      <c r="O566" s="2672"/>
      <c r="P566" s="2672"/>
      <c r="S566" s="2473"/>
      <c r="U566" s="2650"/>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7"/>
      <c r="KB566" s="1657"/>
      <c r="KG566" s="1657"/>
      <c r="KL566" s="1657"/>
      <c r="KM566" s="1657"/>
      <c r="KN566" s="1657"/>
      <c r="KO566" s="1657"/>
      <c r="KP566" s="1657"/>
      <c r="KQ566" s="1657"/>
      <c r="KR566" s="1657"/>
      <c r="KS566" s="1657"/>
      <c r="KT566" s="1657"/>
      <c r="KU566" s="1657"/>
      <c r="KV566" s="1657"/>
      <c r="KW566" s="1657"/>
      <c r="KX566" s="1657"/>
      <c r="KY566" s="1657"/>
      <c r="KZ566" s="1657"/>
      <c r="LA566" s="1657"/>
      <c r="LB566" s="1657"/>
      <c r="LC566" s="1657"/>
      <c r="LD566" s="1657"/>
      <c r="LE566" s="1657"/>
      <c r="LF566" s="1657"/>
      <c r="LG566" s="1657"/>
      <c r="LN566" s="360"/>
      <c r="LO566" s="360"/>
      <c r="ME566" s="360"/>
    </row>
    <row r="567" spans="1:343" ht="14.25" customHeight="1">
      <c r="C567" s="2672"/>
      <c r="D567" s="2672"/>
      <c r="E567" s="1418"/>
      <c r="K567" s="2697"/>
      <c r="L567" s="2672"/>
      <c r="M567" s="2672"/>
      <c r="N567" s="2672"/>
      <c r="O567" s="2672"/>
      <c r="P567" s="2672"/>
      <c r="S567" s="2473"/>
      <c r="U567" s="2650"/>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7"/>
      <c r="KB567" s="1657"/>
      <c r="KG567" s="1657"/>
      <c r="KL567" s="1657"/>
      <c r="KM567" s="1657"/>
      <c r="KN567" s="1657"/>
      <c r="KO567" s="1657"/>
      <c r="KP567" s="1657"/>
      <c r="KQ567" s="1657"/>
      <c r="KR567" s="1657"/>
      <c r="KS567" s="1657"/>
      <c r="KT567" s="1657"/>
      <c r="KU567" s="1657"/>
      <c r="KV567" s="1657"/>
      <c r="KW567" s="1657"/>
      <c r="KX567" s="1657"/>
      <c r="KY567" s="1657"/>
      <c r="KZ567" s="1657"/>
      <c r="LA567" s="1657"/>
      <c r="LB567" s="1657"/>
      <c r="LC567" s="1657"/>
      <c r="LD567" s="1657"/>
      <c r="LE567" s="1657"/>
      <c r="LF567" s="1657"/>
      <c r="LG567" s="1657"/>
      <c r="LN567" s="360"/>
      <c r="LO567" s="360"/>
      <c r="ME567" s="360"/>
    </row>
    <row r="568" spans="1:343" ht="14.25" customHeight="1">
      <c r="D568" s="358"/>
      <c r="E568" s="1418"/>
      <c r="F568" s="358"/>
      <c r="G568" s="2505"/>
      <c r="H568" s="359"/>
      <c r="K568" s="2697"/>
      <c r="L568" s="2697"/>
      <c r="M568" s="2697"/>
      <c r="N568" s="2697"/>
      <c r="O568" s="2697"/>
      <c r="P568" s="2697"/>
      <c r="S568" s="2473" t="str">
        <f>C569</f>
        <v xml:space="preserve">Building Type: (for Utility Allowance, Monitoring Fees, etc)
</v>
      </c>
      <c r="U568" s="2650"/>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7"/>
      <c r="KB568" s="1657"/>
      <c r="KG568" s="1657"/>
      <c r="KL568" s="1657"/>
      <c r="KM568" s="1657"/>
      <c r="KN568" s="1657"/>
      <c r="KO568" s="1657"/>
      <c r="KP568" s="1657"/>
      <c r="KQ568" s="1657"/>
      <c r="KR568" s="1657"/>
      <c r="KS568" s="1657"/>
      <c r="KT568" s="1657"/>
      <c r="KU568" s="1657"/>
      <c r="KV568" s="1657"/>
      <c r="KW568" s="1657"/>
      <c r="KX568" s="1657"/>
      <c r="KY568" s="1657"/>
      <c r="KZ568" s="1657"/>
      <c r="LA568" s="1657"/>
      <c r="LB568" s="1657"/>
      <c r="LC568" s="1657"/>
      <c r="LD568" s="1657"/>
      <c r="LE568" s="1657"/>
      <c r="LF568" s="1657"/>
      <c r="LG568" s="1657"/>
      <c r="LN568" s="360"/>
      <c r="LO568" s="360"/>
      <c r="ME568" s="360"/>
    </row>
    <row r="569" spans="1:343" ht="14.25" customHeight="1">
      <c r="C569" s="2672" t="s">
        <v>5087</v>
      </c>
      <c r="D569" s="2672"/>
      <c r="E569" s="1418" t="s">
        <v>36</v>
      </c>
      <c r="F569" s="358"/>
      <c r="G569" s="2505"/>
      <c r="H569" s="359"/>
      <c r="K569" s="2692">
        <f t="shared" ref="K569:P569" si="362">SUM(K570:K577)</f>
        <v>0</v>
      </c>
      <c r="L569" s="2692">
        <f t="shared" si="362"/>
        <v>16</v>
      </c>
      <c r="M569" s="2692">
        <f t="shared" si="362"/>
        <v>32</v>
      </c>
      <c r="N569" s="2692">
        <f t="shared" si="362"/>
        <v>32</v>
      </c>
      <c r="O569" s="2692">
        <f t="shared" si="362"/>
        <v>0</v>
      </c>
      <c r="P569" s="2692">
        <f t="shared" si="362"/>
        <v>80</v>
      </c>
      <c r="S569" s="2672"/>
      <c r="T569" s="2672"/>
      <c r="U569" s="2672"/>
      <c r="V569" s="2672"/>
      <c r="W569" s="2672"/>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2"/>
      <c r="D570" s="2672"/>
      <c r="E570" s="1418"/>
      <c r="F570" s="358"/>
      <c r="H570" s="2703" t="s">
        <v>4190</v>
      </c>
      <c r="I570" s="1786"/>
      <c r="K570" s="2686">
        <f>JS487</f>
        <v>0</v>
      </c>
      <c r="L570" s="2686">
        <f>JT487</f>
        <v>0</v>
      </c>
      <c r="M570" s="2686">
        <f>JU487</f>
        <v>0</v>
      </c>
      <c r="N570" s="2686">
        <f>JV487</f>
        <v>0</v>
      </c>
      <c r="O570" s="2686">
        <f>JW487</f>
        <v>0</v>
      </c>
      <c r="P570" s="2686">
        <f t="shared" ref="P570:P585" si="363">SUM(K570:O570)</f>
        <v>0</v>
      </c>
      <c r="S570" s="2672"/>
      <c r="T570" s="2672"/>
      <c r="U570" s="2672"/>
      <c r="V570" s="2672"/>
      <c r="W570" s="2672"/>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2"/>
      <c r="D571" s="2672"/>
      <c r="E571" s="1418"/>
      <c r="F571" s="358"/>
      <c r="H571" s="2704" t="s">
        <v>2925</v>
      </c>
      <c r="I571" s="2705"/>
      <c r="K571" s="2691">
        <f>KC487</f>
        <v>0</v>
      </c>
      <c r="L571" s="2691">
        <f>KD487</f>
        <v>0</v>
      </c>
      <c r="M571" s="2691">
        <f>KE487</f>
        <v>0</v>
      </c>
      <c r="N571" s="2691">
        <f>KF487</f>
        <v>0</v>
      </c>
      <c r="O571" s="2691">
        <f>KG487</f>
        <v>0</v>
      </c>
      <c r="P571" s="2691">
        <f t="shared" si="363"/>
        <v>0</v>
      </c>
      <c r="S571" s="2672"/>
      <c r="T571" s="2672"/>
      <c r="U571" s="2672"/>
      <c r="V571" s="2672"/>
      <c r="W571" s="2672"/>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2"/>
      <c r="D572" s="2672"/>
      <c r="E572" s="1418"/>
      <c r="F572" s="358"/>
      <c r="H572" s="2703" t="s">
        <v>4377</v>
      </c>
      <c r="I572" s="1786"/>
      <c r="K572" s="2686">
        <f>JX487</f>
        <v>0</v>
      </c>
      <c r="L572" s="2686">
        <f>JY487</f>
        <v>0</v>
      </c>
      <c r="M572" s="2686">
        <f>JZ487</f>
        <v>0</v>
      </c>
      <c r="N572" s="2686">
        <f>KA487</f>
        <v>0</v>
      </c>
      <c r="O572" s="2686">
        <f>KB487</f>
        <v>0</v>
      </c>
      <c r="P572" s="2686">
        <f t="shared" si="363"/>
        <v>0</v>
      </c>
      <c r="S572" s="2672"/>
      <c r="T572" s="2672"/>
      <c r="U572" s="2672"/>
      <c r="V572" s="2672"/>
      <c r="W572" s="2672"/>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2"/>
      <c r="D573" s="2672"/>
      <c r="E573" s="1418"/>
      <c r="F573" s="358"/>
      <c r="H573" s="2704" t="s">
        <v>2925</v>
      </c>
      <c r="I573" s="2705"/>
      <c r="K573" s="2691">
        <f>KH487</f>
        <v>0</v>
      </c>
      <c r="L573" s="2691">
        <f>KI487</f>
        <v>0</v>
      </c>
      <c r="M573" s="2691">
        <f>KJ487</f>
        <v>0</v>
      </c>
      <c r="N573" s="2691">
        <f>KK487</f>
        <v>0</v>
      </c>
      <c r="O573" s="2691">
        <f>KL487</f>
        <v>0</v>
      </c>
      <c r="P573" s="2691">
        <f t="shared" si="363"/>
        <v>0</v>
      </c>
      <c r="S573" s="2672"/>
      <c r="T573" s="2672"/>
      <c r="U573" s="2672"/>
      <c r="V573" s="2672"/>
      <c r="W573" s="2672"/>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2"/>
      <c r="D574" s="2672"/>
      <c r="E574" s="1418"/>
      <c r="F574" s="358"/>
      <c r="H574" s="2703" t="s">
        <v>4192</v>
      </c>
      <c r="I574" s="1786"/>
      <c r="K574" s="2686">
        <f>KM487</f>
        <v>0</v>
      </c>
      <c r="L574" s="2686">
        <f>KN487</f>
        <v>0</v>
      </c>
      <c r="M574" s="2686">
        <f>KO487</f>
        <v>0</v>
      </c>
      <c r="N574" s="2686">
        <f>KP487</f>
        <v>0</v>
      </c>
      <c r="O574" s="2686">
        <f>KQ487</f>
        <v>0</v>
      </c>
      <c r="P574" s="2686">
        <f t="shared" si="363"/>
        <v>0</v>
      </c>
      <c r="S574" s="2672"/>
      <c r="T574" s="2672"/>
      <c r="U574" s="2672"/>
      <c r="V574" s="2672"/>
      <c r="W574" s="2672"/>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2"/>
      <c r="D575" s="2672"/>
      <c r="E575" s="1418"/>
      <c r="F575" s="358"/>
      <c r="H575" s="2704" t="s">
        <v>2925</v>
      </c>
      <c r="I575" s="2705"/>
      <c r="K575" s="2691">
        <f>KW487</f>
        <v>0</v>
      </c>
      <c r="L575" s="2691">
        <f>KX487</f>
        <v>0</v>
      </c>
      <c r="M575" s="2691">
        <f>KY487</f>
        <v>0</v>
      </c>
      <c r="N575" s="2691">
        <f>KZ487</f>
        <v>0</v>
      </c>
      <c r="O575" s="2691">
        <f>LA487</f>
        <v>0</v>
      </c>
      <c r="P575" s="2691">
        <f t="shared" si="363"/>
        <v>0</v>
      </c>
      <c r="S575" s="2672"/>
      <c r="T575" s="2672"/>
      <c r="U575" s="2672"/>
      <c r="V575" s="2672"/>
      <c r="W575" s="2672"/>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2"/>
      <c r="D576" s="2672"/>
      <c r="E576" s="1418"/>
      <c r="F576" s="358"/>
      <c r="H576" s="2703" t="s">
        <v>4384</v>
      </c>
      <c r="I576" s="1786"/>
      <c r="K576" s="2686">
        <f>KR487</f>
        <v>0</v>
      </c>
      <c r="L576" s="2686">
        <f>KS487</f>
        <v>16</v>
      </c>
      <c r="M576" s="2686">
        <f>KT487</f>
        <v>32</v>
      </c>
      <c r="N576" s="2686">
        <f>KU487</f>
        <v>32</v>
      </c>
      <c r="O576" s="2686">
        <f>KV487</f>
        <v>0</v>
      </c>
      <c r="P576" s="2686">
        <f t="shared" si="363"/>
        <v>80</v>
      </c>
      <c r="S576" s="2672"/>
      <c r="T576" s="2672"/>
      <c r="U576" s="2672"/>
      <c r="V576" s="2672"/>
      <c r="W576" s="2672"/>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2"/>
      <c r="D577" s="2672"/>
      <c r="E577" s="1418"/>
      <c r="F577" s="358"/>
      <c r="H577" s="2704" t="s">
        <v>2925</v>
      </c>
      <c r="I577" s="2705"/>
      <c r="K577" s="2691">
        <f>LB487</f>
        <v>0</v>
      </c>
      <c r="L577" s="2691">
        <f>LC487</f>
        <v>0</v>
      </c>
      <c r="M577" s="2691">
        <f>LD487</f>
        <v>0</v>
      </c>
      <c r="N577" s="2691">
        <f>LE487</f>
        <v>0</v>
      </c>
      <c r="O577" s="2691">
        <f>LF487</f>
        <v>0</v>
      </c>
      <c r="P577" s="2691">
        <f t="shared" si="363"/>
        <v>0</v>
      </c>
      <c r="S577" s="2672"/>
      <c r="T577" s="2672"/>
      <c r="U577" s="2672"/>
      <c r="V577" s="2672"/>
      <c r="W577" s="2672"/>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6"/>
      <c r="D578" s="2706"/>
      <c r="E578" s="1418" t="s">
        <v>4379</v>
      </c>
      <c r="F578" s="358"/>
      <c r="H578" s="2703"/>
      <c r="I578" s="1786"/>
      <c r="K578" s="2686">
        <f>IE487</f>
        <v>0</v>
      </c>
      <c r="L578" s="2686">
        <f>IF487</f>
        <v>0</v>
      </c>
      <c r="M578" s="2686">
        <f>IG487</f>
        <v>0</v>
      </c>
      <c r="N578" s="2686">
        <f>IH487</f>
        <v>0</v>
      </c>
      <c r="O578" s="2686">
        <f>II487</f>
        <v>0</v>
      </c>
      <c r="P578" s="2692">
        <f t="shared" si="363"/>
        <v>0</v>
      </c>
      <c r="S578" s="2672"/>
      <c r="T578" s="2672"/>
      <c r="U578" s="2672"/>
      <c r="V578" s="2672"/>
      <c r="W578" s="2672"/>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7"/>
      <c r="KB578" s="1657"/>
      <c r="KG578" s="1657"/>
      <c r="KL578" s="1657"/>
      <c r="KM578" s="1657"/>
      <c r="KN578" s="1657"/>
      <c r="KO578" s="1657"/>
      <c r="KP578" s="1657"/>
      <c r="KQ578" s="1657"/>
      <c r="KR578" s="1657"/>
      <c r="KS578" s="1657"/>
      <c r="KT578" s="1657"/>
      <c r="KU578" s="1657"/>
      <c r="KV578" s="1657"/>
      <c r="KW578" s="1657"/>
      <c r="KX578" s="1657"/>
      <c r="KY578" s="1657"/>
      <c r="KZ578" s="1657"/>
      <c r="LA578" s="1657"/>
      <c r="LB578" s="1657"/>
      <c r="LC578" s="1657"/>
      <c r="LD578" s="1657"/>
      <c r="LE578" s="1657"/>
      <c r="LF578" s="1657"/>
      <c r="LG578" s="1657"/>
      <c r="LN578" s="360"/>
      <c r="LO578" s="360"/>
    </row>
    <row r="579" spans="1:342" ht="14.25" customHeight="1">
      <c r="C579" s="2706"/>
      <c r="D579" s="2706"/>
      <c r="E579" s="1418"/>
      <c r="F579" s="358"/>
      <c r="H579" s="2704" t="s">
        <v>2925</v>
      </c>
      <c r="I579" s="2705"/>
      <c r="K579" s="2691">
        <f>IJ487</f>
        <v>0</v>
      </c>
      <c r="L579" s="2691">
        <f>IK487</f>
        <v>0</v>
      </c>
      <c r="M579" s="2691">
        <f>IL487</f>
        <v>0</v>
      </c>
      <c r="N579" s="2691">
        <f>IM487</f>
        <v>0</v>
      </c>
      <c r="O579" s="2691">
        <f>IN487</f>
        <v>0</v>
      </c>
      <c r="P579" s="2707">
        <f t="shared" si="363"/>
        <v>0</v>
      </c>
      <c r="S579" s="2672"/>
      <c r="T579" s="2672"/>
      <c r="U579" s="2672"/>
      <c r="V579" s="2672"/>
      <c r="W579" s="2672"/>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7"/>
      <c r="KB579" s="1657"/>
      <c r="KG579" s="1657"/>
      <c r="KL579" s="1657"/>
      <c r="KM579" s="1657"/>
      <c r="KN579" s="1657"/>
      <c r="KO579" s="1657"/>
      <c r="KP579" s="1657"/>
      <c r="KQ579" s="1657"/>
      <c r="KR579" s="1657"/>
      <c r="KS579" s="1657"/>
      <c r="KT579" s="1657"/>
      <c r="KU579" s="1657"/>
      <c r="KV579" s="1657"/>
      <c r="KW579" s="1657"/>
      <c r="KX579" s="1657"/>
      <c r="KY579" s="1657"/>
      <c r="KZ579" s="1657"/>
      <c r="LA579" s="1657"/>
      <c r="LB579" s="1657"/>
      <c r="LC579" s="1657"/>
      <c r="LD579" s="1657"/>
      <c r="LE579" s="1657"/>
      <c r="LF579" s="1657"/>
      <c r="LG579" s="1657"/>
      <c r="LN579" s="360"/>
      <c r="LO579" s="360"/>
    </row>
    <row r="580" spans="1:342" ht="14.25" customHeight="1">
      <c r="C580" s="2706"/>
      <c r="D580" s="2706"/>
      <c r="E580" s="1418" t="s">
        <v>4380</v>
      </c>
      <c r="F580" s="358"/>
      <c r="H580" s="2703"/>
      <c r="I580" s="1786"/>
      <c r="K580" s="2686">
        <f>JI487</f>
        <v>0</v>
      </c>
      <c r="L580" s="2686">
        <f>JJ487</f>
        <v>0</v>
      </c>
      <c r="M580" s="2686">
        <f>JK487</f>
        <v>0</v>
      </c>
      <c r="N580" s="2686">
        <f>JL487</f>
        <v>0</v>
      </c>
      <c r="O580" s="2686">
        <f>JM487</f>
        <v>0</v>
      </c>
      <c r="P580" s="2692">
        <f t="shared" si="363"/>
        <v>0</v>
      </c>
      <c r="S580" s="2672"/>
      <c r="T580" s="2672"/>
      <c r="U580" s="2672"/>
      <c r="V580" s="2672"/>
      <c r="W580" s="2672"/>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6"/>
      <c r="D581" s="2706"/>
      <c r="E581" s="1418"/>
      <c r="F581" s="358"/>
      <c r="H581" s="2704" t="s">
        <v>2925</v>
      </c>
      <c r="I581" s="2705"/>
      <c r="K581" s="2691">
        <f>JN487</f>
        <v>0</v>
      </c>
      <c r="L581" s="2691">
        <f>JO487</f>
        <v>0</v>
      </c>
      <c r="M581" s="2691">
        <f>JP487</f>
        <v>0</v>
      </c>
      <c r="N581" s="2691">
        <f>JQ487</f>
        <v>0</v>
      </c>
      <c r="O581" s="2691">
        <f>JR487</f>
        <v>0</v>
      </c>
      <c r="P581" s="2707">
        <f t="shared" si="363"/>
        <v>0</v>
      </c>
      <c r="S581" s="2672"/>
      <c r="T581" s="2672"/>
      <c r="U581" s="2672"/>
      <c r="V581" s="2672"/>
      <c r="W581" s="2672"/>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6"/>
      <c r="D582" s="2706"/>
      <c r="E582" s="1418" t="s">
        <v>4186</v>
      </c>
      <c r="F582" s="358"/>
      <c r="H582" s="2703"/>
      <c r="I582" s="1786"/>
      <c r="K582" s="2686">
        <f>IY487</f>
        <v>0</v>
      </c>
      <c r="L582" s="2686">
        <f>IZ487</f>
        <v>0</v>
      </c>
      <c r="M582" s="2686">
        <f>JA487</f>
        <v>0</v>
      </c>
      <c r="N582" s="2686">
        <f>JB487</f>
        <v>0</v>
      </c>
      <c r="O582" s="2686">
        <f>JC487</f>
        <v>0</v>
      </c>
      <c r="P582" s="2692">
        <f t="shared" si="363"/>
        <v>0</v>
      </c>
      <c r="S582" s="2672"/>
      <c r="T582" s="2672"/>
      <c r="U582" s="2672"/>
      <c r="V582" s="2672"/>
      <c r="W582" s="2672"/>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7"/>
      <c r="KB582" s="1657"/>
      <c r="KG582" s="1657"/>
      <c r="KL582" s="1657"/>
      <c r="KM582" s="1657"/>
      <c r="KN582" s="1657"/>
      <c r="KO582" s="1657"/>
      <c r="KP582" s="1657"/>
      <c r="KQ582" s="1657"/>
      <c r="KR582" s="1657"/>
      <c r="KS582" s="1657"/>
      <c r="KT582" s="1657"/>
      <c r="KU582" s="1657"/>
      <c r="KV582" s="1657"/>
      <c r="KW582" s="1657"/>
      <c r="KX582" s="1657"/>
      <c r="KY582" s="1657"/>
      <c r="KZ582" s="1657"/>
      <c r="LA582" s="1657"/>
      <c r="LB582" s="1657"/>
      <c r="LC582" s="1657"/>
      <c r="LD582" s="1657"/>
      <c r="LE582" s="1657"/>
      <c r="LF582" s="1657"/>
      <c r="LG582" s="1657"/>
      <c r="LN582" s="360"/>
      <c r="LO582" s="360"/>
    </row>
    <row r="583" spans="1:342" ht="14.25" customHeight="1">
      <c r="C583" s="2706"/>
      <c r="D583" s="2706"/>
      <c r="E583" s="1418"/>
      <c r="F583" s="358"/>
      <c r="H583" s="2704" t="s">
        <v>2925</v>
      </c>
      <c r="I583" s="2705"/>
      <c r="K583" s="2691">
        <f>JD487</f>
        <v>0</v>
      </c>
      <c r="L583" s="2691">
        <f>JE487</f>
        <v>0</v>
      </c>
      <c r="M583" s="2691">
        <f>JF487</f>
        <v>0</v>
      </c>
      <c r="N583" s="2691">
        <f>JG487</f>
        <v>0</v>
      </c>
      <c r="O583" s="2691">
        <f>JH487</f>
        <v>0</v>
      </c>
      <c r="P583" s="2707">
        <f t="shared" si="363"/>
        <v>0</v>
      </c>
      <c r="S583" s="2672"/>
      <c r="T583" s="2672"/>
      <c r="U583" s="2672"/>
      <c r="V583" s="2672"/>
      <c r="W583" s="2672"/>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7"/>
      <c r="KB583" s="1657"/>
      <c r="KG583" s="1657"/>
      <c r="KL583" s="1657"/>
      <c r="KM583" s="1657"/>
      <c r="KN583" s="1657"/>
      <c r="KO583" s="1657"/>
      <c r="KP583" s="1657"/>
      <c r="KQ583" s="1657"/>
      <c r="KR583" s="1657"/>
      <c r="KS583" s="1657"/>
      <c r="KT583" s="1657"/>
      <c r="KU583" s="1657"/>
      <c r="KV583" s="1657"/>
      <c r="KW583" s="1657"/>
      <c r="KX583" s="1657"/>
      <c r="KY583" s="1657"/>
      <c r="KZ583" s="1657"/>
      <c r="LA583" s="1657"/>
      <c r="LB583" s="1657"/>
      <c r="LC583" s="1657"/>
      <c r="LD583" s="1657"/>
      <c r="LE583" s="1657"/>
      <c r="LF583" s="1657"/>
      <c r="LG583" s="1657"/>
      <c r="LN583" s="360"/>
      <c r="LO583" s="360"/>
    </row>
    <row r="584" spans="1:342" ht="14.25" customHeight="1">
      <c r="C584" s="2706"/>
      <c r="D584" s="2706"/>
      <c r="E584" s="359" t="s">
        <v>524</v>
      </c>
      <c r="F584" s="358"/>
      <c r="H584" s="2703"/>
      <c r="I584" s="1786"/>
      <c r="K584" s="2686">
        <f>IO487</f>
        <v>0</v>
      </c>
      <c r="L584" s="2686">
        <f>IP487</f>
        <v>0</v>
      </c>
      <c r="M584" s="2686">
        <f>IQ487</f>
        <v>0</v>
      </c>
      <c r="N584" s="2686">
        <f>IR487</f>
        <v>0</v>
      </c>
      <c r="O584" s="2686">
        <f>IS487</f>
        <v>0</v>
      </c>
      <c r="P584" s="2692">
        <f t="shared" si="363"/>
        <v>0</v>
      </c>
      <c r="S584" s="2672"/>
      <c r="T584" s="2672"/>
      <c r="U584" s="2672"/>
      <c r="V584" s="2672"/>
      <c r="W584" s="2672"/>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2"/>
      <c r="D585" s="2672"/>
      <c r="E585" s="359"/>
      <c r="F585" s="358"/>
      <c r="H585" s="2704" t="s">
        <v>2925</v>
      </c>
      <c r="I585" s="2705"/>
      <c r="K585" s="2691">
        <f>IT487</f>
        <v>0</v>
      </c>
      <c r="L585" s="2691">
        <f>IU487</f>
        <v>0</v>
      </c>
      <c r="M585" s="2691">
        <f>IV487</f>
        <v>0</v>
      </c>
      <c r="N585" s="2691">
        <f>IW487</f>
        <v>0</v>
      </c>
      <c r="O585" s="2691">
        <f>IX487</f>
        <v>0</v>
      </c>
      <c r="P585" s="2707">
        <f t="shared" si="363"/>
        <v>0</v>
      </c>
      <c r="S585" s="2672"/>
      <c r="T585" s="2672"/>
      <c r="U585" s="2672"/>
      <c r="V585" s="2672"/>
      <c r="W585" s="2672"/>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08"/>
      <c r="I586" s="2709"/>
      <c r="K586" s="2698"/>
      <c r="L586" s="2698"/>
      <c r="M586" s="2698"/>
      <c r="N586" s="2698"/>
      <c r="O586" s="2698"/>
      <c r="P586" s="2698"/>
      <c r="JW586" s="1657"/>
      <c r="KB586" s="1657"/>
      <c r="KG586" s="1657"/>
      <c r="KL586" s="1657"/>
      <c r="KM586" s="1657"/>
      <c r="KN586" s="1657"/>
      <c r="KO586" s="1657"/>
      <c r="KP586" s="1657"/>
      <c r="KQ586" s="1657"/>
      <c r="KR586" s="1657"/>
      <c r="KS586" s="1657"/>
      <c r="KT586" s="1657"/>
      <c r="KU586" s="1657"/>
      <c r="KV586" s="1657"/>
      <c r="KW586" s="1657"/>
      <c r="KX586" s="1657"/>
      <c r="KY586" s="1657"/>
      <c r="KZ586" s="1657"/>
      <c r="LA586" s="1657"/>
      <c r="LB586" s="1657"/>
      <c r="LC586" s="1657"/>
      <c r="LD586" s="1657"/>
      <c r="LE586" s="1657"/>
      <c r="LF586" s="1657"/>
      <c r="LG586" s="1657"/>
      <c r="LN586" s="360"/>
      <c r="MD586" s="360"/>
    </row>
    <row r="587" spans="1:342" ht="14.65" customHeight="1">
      <c r="A587" s="360" t="s">
        <v>688</v>
      </c>
      <c r="B587" s="360" t="s">
        <v>5086</v>
      </c>
      <c r="H587" s="359"/>
      <c r="L587" s="2699">
        <f>$O$53</f>
        <v>0</v>
      </c>
      <c r="M587" s="2699"/>
      <c r="N587" s="2699"/>
      <c r="O587" s="2699"/>
      <c r="S587" s="1656" t="str">
        <f>B587</f>
        <v>UNIT SUMMARY (Continued)</v>
      </c>
      <c r="T587" s="1656"/>
      <c r="U587" s="1656"/>
      <c r="V587" s="1656"/>
      <c r="AY587" s="358"/>
      <c r="BD587" s="358"/>
      <c r="JW587" s="1657"/>
      <c r="KB587" s="1657"/>
      <c r="KG587" s="1657"/>
      <c r="KL587" s="1657"/>
      <c r="KM587" s="1657"/>
      <c r="KN587" s="1657"/>
      <c r="KO587" s="1657"/>
      <c r="KP587" s="1657"/>
      <c r="KQ587" s="1657"/>
      <c r="KR587" s="1657"/>
      <c r="KS587" s="1657"/>
      <c r="KT587" s="1657"/>
      <c r="KU587" s="1657"/>
      <c r="KV587" s="1657"/>
      <c r="KW587" s="1657"/>
      <c r="KX587" s="1657"/>
      <c r="KY587" s="1657"/>
      <c r="KZ587" s="1657"/>
      <c r="LA587" s="1657"/>
      <c r="LB587" s="1657"/>
      <c r="LC587" s="1657"/>
      <c r="LD587" s="1657"/>
      <c r="LE587" s="1657"/>
      <c r="LF587" s="1657"/>
      <c r="LG587" s="1657"/>
      <c r="LN587" s="360"/>
      <c r="LO587" s="360"/>
    </row>
    <row r="588" spans="1:342" ht="9" customHeight="1">
      <c r="A588" s="360"/>
      <c r="B588" s="360"/>
      <c r="H588" s="359"/>
      <c r="Q588" s="358"/>
      <c r="S588" s="1728" t="str">
        <f>C589</f>
        <v>Building Type:
(for Cost Limit purposes only - see Application Instructions for further detail)</v>
      </c>
      <c r="T588" s="360"/>
      <c r="U588" s="2645"/>
      <c r="AY588" s="358"/>
      <c r="BD588" s="358"/>
      <c r="JW588" s="1657"/>
      <c r="KB588" s="1657"/>
      <c r="KG588" s="1657"/>
      <c r="KL588" s="1657"/>
      <c r="KM588" s="1657"/>
      <c r="KN588" s="1657"/>
      <c r="KO588" s="1657"/>
      <c r="KP588" s="1657"/>
      <c r="KQ588" s="1657"/>
      <c r="KR588" s="1657"/>
      <c r="KS588" s="1657"/>
      <c r="KT588" s="1657"/>
      <c r="KU588" s="1657"/>
      <c r="KV588" s="1657"/>
      <c r="KW588" s="1657"/>
      <c r="KX588" s="1657"/>
      <c r="KY588" s="1657"/>
      <c r="KZ588" s="1657"/>
      <c r="LA588" s="1657"/>
      <c r="LB588" s="1657"/>
      <c r="LC588" s="1657"/>
      <c r="LD588" s="1657"/>
      <c r="LE588" s="1657"/>
      <c r="LF588" s="1657"/>
      <c r="LG588" s="1657"/>
      <c r="LN588" s="360"/>
      <c r="LO588" s="360"/>
    </row>
    <row r="589" spans="1:342" ht="14.25" customHeight="1">
      <c r="C589" s="2672" t="s">
        <v>5088</v>
      </c>
      <c r="D589" s="2672"/>
      <c r="E589" s="1418" t="s">
        <v>2920</v>
      </c>
      <c r="F589" s="2505"/>
      <c r="H589" s="2703"/>
      <c r="I589" s="1786"/>
      <c r="K589" s="2686">
        <f t="shared" ref="K589:O590" si="364">K578+K582+K584</f>
        <v>0</v>
      </c>
      <c r="L589" s="2686">
        <f>L578+L582+L584</f>
        <v>0</v>
      </c>
      <c r="M589" s="2686">
        <f t="shared" si="364"/>
        <v>0</v>
      </c>
      <c r="N589" s="2686">
        <f t="shared" si="364"/>
        <v>0</v>
      </c>
      <c r="O589" s="2686">
        <f t="shared" si="364"/>
        <v>0</v>
      </c>
      <c r="P589" s="2692">
        <f t="shared" ref="P589:P596" si="365">SUM(K589:O589)</f>
        <v>0</v>
      </c>
      <c r="S589" s="2672"/>
      <c r="T589" s="2672"/>
      <c r="U589" s="2672"/>
      <c r="V589" s="2672"/>
      <c r="W589" s="2672"/>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2"/>
      <c r="D590" s="2672"/>
      <c r="E590" s="1418"/>
      <c r="F590" s="2505"/>
      <c r="H590" s="2704" t="s">
        <v>2925</v>
      </c>
      <c r="I590" s="2705"/>
      <c r="K590" s="2691">
        <f t="shared" si="364"/>
        <v>0</v>
      </c>
      <c r="L590" s="2691">
        <f t="shared" si="364"/>
        <v>0</v>
      </c>
      <c r="M590" s="2691">
        <f t="shared" si="364"/>
        <v>0</v>
      </c>
      <c r="N590" s="2691">
        <f t="shared" si="364"/>
        <v>0</v>
      </c>
      <c r="O590" s="2691">
        <f t="shared" si="364"/>
        <v>0</v>
      </c>
      <c r="P590" s="2707">
        <f t="shared" si="365"/>
        <v>0</v>
      </c>
      <c r="S590" s="2672"/>
      <c r="T590" s="2672"/>
      <c r="U590" s="2672"/>
      <c r="V590" s="2672"/>
      <c r="W590" s="2672"/>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2"/>
      <c r="D591" s="2672"/>
      <c r="E591" s="1418" t="s">
        <v>2921</v>
      </c>
      <c r="F591" s="2505"/>
      <c r="H591" s="2473"/>
      <c r="I591" s="2505"/>
      <c r="K591" s="2686">
        <f t="shared" ref="K591:O592" si="366">K580</f>
        <v>0</v>
      </c>
      <c r="L591" s="2686">
        <f t="shared" si="366"/>
        <v>0</v>
      </c>
      <c r="M591" s="2686">
        <f t="shared" si="366"/>
        <v>0</v>
      </c>
      <c r="N591" s="2686">
        <f t="shared" si="366"/>
        <v>0</v>
      </c>
      <c r="O591" s="2686">
        <f t="shared" si="366"/>
        <v>0</v>
      </c>
      <c r="P591" s="2692">
        <f t="shared" si="365"/>
        <v>0</v>
      </c>
      <c r="S591" s="2672"/>
      <c r="T591" s="2672"/>
      <c r="U591" s="2672"/>
      <c r="V591" s="2672"/>
      <c r="W591" s="2672"/>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2"/>
      <c r="D592" s="2672"/>
      <c r="E592" s="1418"/>
      <c r="F592" s="2505"/>
      <c r="H592" s="2704" t="s">
        <v>2925</v>
      </c>
      <c r="I592" s="2705"/>
      <c r="K592" s="2691">
        <f t="shared" si="366"/>
        <v>0</v>
      </c>
      <c r="L592" s="2691">
        <f t="shared" si="366"/>
        <v>0</v>
      </c>
      <c r="M592" s="2691">
        <f t="shared" si="366"/>
        <v>0</v>
      </c>
      <c r="N592" s="2691">
        <f t="shared" si="366"/>
        <v>0</v>
      </c>
      <c r="O592" s="2691">
        <f t="shared" si="366"/>
        <v>0</v>
      </c>
      <c r="P592" s="2707">
        <f t="shared" si="365"/>
        <v>0</v>
      </c>
      <c r="S592" s="2672"/>
      <c r="T592" s="2672"/>
      <c r="U592" s="2672"/>
      <c r="V592" s="2672"/>
      <c r="W592" s="2672"/>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2"/>
      <c r="D593" s="2672"/>
      <c r="E593" s="1418" t="s">
        <v>2922</v>
      </c>
      <c r="F593" s="2505"/>
      <c r="H593" s="2703"/>
      <c r="I593" s="1786"/>
      <c r="K593" s="2686">
        <f t="shared" ref="K593:O596" si="367">K570+K574</f>
        <v>0</v>
      </c>
      <c r="L593" s="2686">
        <f t="shared" si="367"/>
        <v>0</v>
      </c>
      <c r="M593" s="2686">
        <f t="shared" si="367"/>
        <v>0</v>
      </c>
      <c r="N593" s="2686">
        <f t="shared" si="367"/>
        <v>0</v>
      </c>
      <c r="O593" s="2686">
        <f t="shared" si="367"/>
        <v>0</v>
      </c>
      <c r="P593" s="2692">
        <f t="shared" si="365"/>
        <v>0</v>
      </c>
      <c r="S593" s="2672"/>
      <c r="T593" s="2672"/>
      <c r="U593" s="2672"/>
      <c r="V593" s="2672"/>
      <c r="W593" s="2672"/>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2"/>
      <c r="D594" s="2672"/>
      <c r="E594" s="1418"/>
      <c r="F594" s="2505"/>
      <c r="H594" s="2704" t="s">
        <v>2925</v>
      </c>
      <c r="I594" s="2705"/>
      <c r="K594" s="2691">
        <f t="shared" si="367"/>
        <v>0</v>
      </c>
      <c r="L594" s="2691">
        <f t="shared" si="367"/>
        <v>0</v>
      </c>
      <c r="M594" s="2691">
        <f t="shared" si="367"/>
        <v>0</v>
      </c>
      <c r="N594" s="2691">
        <f t="shared" si="367"/>
        <v>0</v>
      </c>
      <c r="O594" s="2691">
        <f t="shared" si="367"/>
        <v>0</v>
      </c>
      <c r="P594" s="2707">
        <f t="shared" si="365"/>
        <v>0</v>
      </c>
      <c r="S594" s="2672"/>
      <c r="T594" s="2672"/>
      <c r="U594" s="2672"/>
      <c r="V594" s="2672"/>
      <c r="W594" s="2672"/>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2"/>
      <c r="D595" s="2672"/>
      <c r="E595" s="1418" t="s">
        <v>2923</v>
      </c>
      <c r="F595" s="2505"/>
      <c r="H595" s="2703"/>
      <c r="I595" s="1786"/>
      <c r="K595" s="2686">
        <f t="shared" si="367"/>
        <v>0</v>
      </c>
      <c r="L595" s="2686">
        <f t="shared" si="367"/>
        <v>16</v>
      </c>
      <c r="M595" s="2686">
        <f t="shared" si="367"/>
        <v>32</v>
      </c>
      <c r="N595" s="2686">
        <f t="shared" si="367"/>
        <v>32</v>
      </c>
      <c r="O595" s="2686">
        <f t="shared" si="367"/>
        <v>0</v>
      </c>
      <c r="P595" s="2692">
        <f t="shared" si="365"/>
        <v>80</v>
      </c>
      <c r="S595" s="2672"/>
      <c r="T595" s="2672"/>
      <c r="U595" s="2672"/>
      <c r="V595" s="2672"/>
      <c r="W595" s="2672"/>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5"/>
      <c r="H596" s="2704" t="s">
        <v>2925</v>
      </c>
      <c r="I596" s="2705"/>
      <c r="K596" s="2691">
        <f t="shared" si="367"/>
        <v>0</v>
      </c>
      <c r="L596" s="2691">
        <f t="shared" si="367"/>
        <v>0</v>
      </c>
      <c r="M596" s="2691">
        <f t="shared" si="367"/>
        <v>0</v>
      </c>
      <c r="N596" s="2691">
        <f t="shared" si="367"/>
        <v>0</v>
      </c>
      <c r="O596" s="2691">
        <f t="shared" si="367"/>
        <v>0</v>
      </c>
      <c r="P596" s="2707">
        <f t="shared" si="365"/>
        <v>0</v>
      </c>
      <c r="Q596" s="356" t="s">
        <v>5089</v>
      </c>
      <c r="S596" s="2672"/>
      <c r="T596" s="2672"/>
      <c r="U596" s="2672"/>
      <c r="V596" s="2672"/>
      <c r="W596" s="2672"/>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5"/>
      <c r="B597" s="1545"/>
      <c r="D597" s="358"/>
      <c r="E597" s="1418"/>
      <c r="F597" s="358"/>
      <c r="H597" s="361"/>
      <c r="I597" s="361"/>
      <c r="K597" s="2697"/>
      <c r="L597" s="2697"/>
      <c r="M597" s="2697"/>
      <c r="N597" s="2697"/>
      <c r="O597" s="2697"/>
      <c r="P597" s="2697"/>
      <c r="S597" s="377"/>
      <c r="U597" s="2650"/>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7"/>
      <c r="KB597" s="1657"/>
      <c r="KG597" s="1657"/>
      <c r="KL597" s="1657"/>
      <c r="KM597" s="1657"/>
      <c r="KN597" s="1657"/>
      <c r="KO597" s="1657"/>
      <c r="KP597" s="1657"/>
      <c r="KQ597" s="1657"/>
      <c r="KR597" s="1657"/>
      <c r="KS597" s="1657"/>
      <c r="KT597" s="1657"/>
      <c r="KU597" s="1657"/>
      <c r="KV597" s="1657"/>
      <c r="KW597" s="1657"/>
      <c r="KX597" s="1657"/>
      <c r="KY597" s="1657"/>
      <c r="KZ597" s="1657"/>
      <c r="LA597" s="1657"/>
      <c r="LB597" s="1657"/>
      <c r="LC597" s="1657"/>
      <c r="LD597" s="1657"/>
      <c r="LE597" s="1657"/>
      <c r="LF597" s="1657"/>
      <c r="LG597" s="1657"/>
      <c r="LN597" s="360"/>
      <c r="LO597" s="360"/>
    </row>
    <row r="598" spans="1:343" ht="12" customHeight="1">
      <c r="A598" s="360"/>
      <c r="B598" s="360" t="s">
        <v>4393</v>
      </c>
      <c r="C598" s="358"/>
      <c r="D598" s="358"/>
      <c r="E598" s="358"/>
      <c r="F598" s="358"/>
      <c r="H598" s="1786"/>
      <c r="I598" s="1786"/>
      <c r="K598" s="2710"/>
      <c r="L598" s="2710"/>
      <c r="M598" s="2710"/>
      <c r="N598" s="2710"/>
      <c r="O598" s="2710"/>
      <c r="P598" s="2710"/>
      <c r="S598" s="1728" t="str">
        <f>B598</f>
        <v>UNIT SQUARE FOOTAGE</v>
      </c>
      <c r="T598" s="1728"/>
      <c r="U598" s="1728"/>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7"/>
      <c r="KB598" s="1657"/>
      <c r="KG598" s="1657"/>
      <c r="KL598" s="1657"/>
      <c r="KM598" s="1657"/>
      <c r="KN598" s="1657"/>
      <c r="KO598" s="1657"/>
      <c r="KP598" s="1657"/>
      <c r="KQ598" s="1657"/>
      <c r="KR598" s="1657"/>
      <c r="KS598" s="1657"/>
      <c r="KT598" s="1657"/>
      <c r="KU598" s="1657"/>
      <c r="KV598" s="1657"/>
      <c r="KW598" s="1657"/>
      <c r="KX598" s="1657"/>
      <c r="KY598" s="1657"/>
      <c r="KZ598" s="1657"/>
      <c r="LA598" s="1657"/>
      <c r="LB598" s="1657"/>
      <c r="LC598" s="1657"/>
      <c r="LD598" s="1657"/>
      <c r="LE598" s="1657"/>
      <c r="LF598" s="1657"/>
      <c r="LG598" s="1657"/>
      <c r="LN598" s="360"/>
      <c r="LO598" s="360"/>
    </row>
    <row r="599" spans="1:343" ht="14.25" customHeight="1">
      <c r="C599" s="358" t="s">
        <v>1977</v>
      </c>
      <c r="D599" s="358"/>
      <c r="E599" s="358"/>
      <c r="F599" s="358"/>
      <c r="H599" s="359" t="s">
        <v>3558</v>
      </c>
      <c r="I599" s="794"/>
      <c r="K599" s="2698">
        <f>EI487</f>
        <v>0</v>
      </c>
      <c r="L599" s="2698">
        <f>EJ487</f>
        <v>0</v>
      </c>
      <c r="M599" s="2698">
        <f>EK487</f>
        <v>0</v>
      </c>
      <c r="N599" s="2698">
        <f>EL487</f>
        <v>0</v>
      </c>
      <c r="O599" s="2698">
        <f>EM487</f>
        <v>0</v>
      </c>
      <c r="P599" s="2711">
        <f t="shared" ref="P599:P605" si="368">SUM(K599:O599)</f>
        <v>0</v>
      </c>
      <c r="Q599" s="2696" t="str">
        <f>'Part V-Revenues &amp; Expenses'!Q161</f>
        <v/>
      </c>
      <c r="S599" s="2672"/>
      <c r="T599" s="2672"/>
      <c r="U599" s="2672"/>
      <c r="V599" s="2672"/>
      <c r="W599" s="2672"/>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7"/>
      <c r="KB599" s="1657"/>
      <c r="KG599" s="1657"/>
      <c r="KL599" s="1657"/>
      <c r="KM599" s="1657"/>
      <c r="KN599" s="1657"/>
      <c r="KO599" s="1657"/>
      <c r="KP599" s="1657"/>
      <c r="KQ599" s="1657"/>
      <c r="KR599" s="1657"/>
      <c r="KS599" s="1657"/>
      <c r="KT599" s="1657"/>
      <c r="KU599" s="1657"/>
      <c r="KV599" s="1657"/>
      <c r="KW599" s="1657"/>
      <c r="KX599" s="1657"/>
      <c r="KY599" s="1657"/>
      <c r="KZ599" s="1657"/>
      <c r="LA599" s="1657"/>
      <c r="LB599" s="1657"/>
      <c r="LC599" s="1657"/>
      <c r="LD599" s="1657"/>
      <c r="LE599" s="1657"/>
      <c r="LF599" s="1657"/>
      <c r="LG599" s="1657"/>
      <c r="LN599" s="360"/>
      <c r="LO599" s="360"/>
    </row>
    <row r="600" spans="1:343" ht="14.25" customHeight="1">
      <c r="C600" s="358"/>
      <c r="D600" s="358"/>
      <c r="E600" s="358"/>
      <c r="F600" s="358"/>
      <c r="H600" s="2703" t="s">
        <v>3559</v>
      </c>
      <c r="I600" s="1786"/>
      <c r="K600" s="2711">
        <f>EN487</f>
        <v>0</v>
      </c>
      <c r="L600" s="2711">
        <f>EO487</f>
        <v>0</v>
      </c>
      <c r="M600" s="2711">
        <f>EP487</f>
        <v>0</v>
      </c>
      <c r="N600" s="2711">
        <f>EQ487</f>
        <v>0</v>
      </c>
      <c r="O600" s="2711">
        <f>ER487</f>
        <v>0</v>
      </c>
      <c r="P600" s="2711">
        <f t="shared" si="368"/>
        <v>0</v>
      </c>
      <c r="Q600" s="2696" t="str">
        <f>'Part V-Revenues &amp; Expenses'!Q162</f>
        <v/>
      </c>
      <c r="S600" s="2672"/>
      <c r="T600" s="2672"/>
      <c r="U600" s="2672"/>
      <c r="V600" s="2672"/>
      <c r="W600" s="2672"/>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7"/>
      <c r="KB600" s="1657"/>
      <c r="KG600" s="1657"/>
      <c r="KL600" s="1657"/>
      <c r="KM600" s="1657"/>
      <c r="KN600" s="1657"/>
      <c r="KO600" s="1657"/>
      <c r="KP600" s="1657"/>
      <c r="KQ600" s="1657"/>
      <c r="KR600" s="1657"/>
      <c r="KS600" s="1657"/>
      <c r="KT600" s="1657"/>
      <c r="KU600" s="1657"/>
      <c r="KV600" s="1657"/>
      <c r="KW600" s="1657"/>
      <c r="KX600" s="1657"/>
      <c r="KY600" s="1657"/>
      <c r="KZ600" s="1657"/>
      <c r="LA600" s="1657"/>
      <c r="LB600" s="1657"/>
      <c r="LC600" s="1657"/>
      <c r="LD600" s="1657"/>
      <c r="LE600" s="1657"/>
      <c r="LF600" s="1657"/>
      <c r="LG600" s="1657"/>
      <c r="LN600" s="360"/>
      <c r="LO600" s="360"/>
    </row>
    <row r="601" spans="1:343" ht="14.25" customHeight="1">
      <c r="C601" s="358"/>
      <c r="D601" s="358"/>
      <c r="E601" s="358"/>
      <c r="F601" s="358"/>
      <c r="H601" s="2703" t="s">
        <v>1080</v>
      </c>
      <c r="I601" s="1786"/>
      <c r="K601" s="2711">
        <f>ES487</f>
        <v>0</v>
      </c>
      <c r="L601" s="2711">
        <f>ET487</f>
        <v>6300</v>
      </c>
      <c r="M601" s="2711">
        <f>EU487</f>
        <v>17100</v>
      </c>
      <c r="N601" s="2711">
        <f>EV487</f>
        <v>22800</v>
      </c>
      <c r="O601" s="2711">
        <f>EW487</f>
        <v>0</v>
      </c>
      <c r="P601" s="2711">
        <f t="shared" si="368"/>
        <v>46200</v>
      </c>
      <c r="Q601" s="2696">
        <f>'Part V-Revenues &amp; Expenses'!Q163</f>
        <v>982.97872340425533</v>
      </c>
      <c r="S601" s="2672"/>
      <c r="T601" s="2672"/>
      <c r="U601" s="2672"/>
      <c r="V601" s="2672"/>
      <c r="W601" s="2672"/>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7"/>
      <c r="KB601" s="1657"/>
      <c r="KG601" s="1657"/>
      <c r="KL601" s="1657"/>
      <c r="KM601" s="1657"/>
      <c r="KN601" s="1657"/>
      <c r="KO601" s="1657"/>
      <c r="KP601" s="1657"/>
      <c r="KQ601" s="1657"/>
      <c r="KR601" s="1657"/>
      <c r="KS601" s="1657"/>
      <c r="KT601" s="1657"/>
      <c r="KU601" s="1657"/>
      <c r="KV601" s="1657"/>
      <c r="KW601" s="1657"/>
      <c r="KX601" s="1657"/>
      <c r="KY601" s="1657"/>
      <c r="KZ601" s="1657"/>
      <c r="LA601" s="1657"/>
      <c r="LB601" s="1657"/>
      <c r="LC601" s="1657"/>
      <c r="LD601" s="1657"/>
      <c r="LE601" s="1657"/>
      <c r="LF601" s="1657"/>
      <c r="LG601" s="1657"/>
      <c r="LN601" s="360"/>
      <c r="LO601" s="360"/>
    </row>
    <row r="602" spans="1:343" ht="14.25" customHeight="1">
      <c r="C602" s="358"/>
      <c r="D602" s="358"/>
      <c r="E602" s="358"/>
      <c r="F602" s="358"/>
      <c r="H602" s="2703" t="s">
        <v>112</v>
      </c>
      <c r="I602" s="1786"/>
      <c r="K602" s="2711">
        <f>EX487</f>
        <v>0</v>
      </c>
      <c r="L602" s="2711">
        <f>EY487</f>
        <v>2100</v>
      </c>
      <c r="M602" s="2711">
        <f>EZ487</f>
        <v>4500</v>
      </c>
      <c r="N602" s="2711">
        <f>FA487</f>
        <v>6000</v>
      </c>
      <c r="O602" s="2711">
        <f>FB487</f>
        <v>0</v>
      </c>
      <c r="P602" s="2711">
        <f t="shared" si="368"/>
        <v>12600</v>
      </c>
      <c r="Q602" s="2696">
        <f>'Part V-Revenues &amp; Expenses'!Q164</f>
        <v>969.23076923076928</v>
      </c>
      <c r="S602" s="2672"/>
      <c r="T602" s="2672"/>
      <c r="U602" s="2672"/>
      <c r="V602" s="2672"/>
      <c r="W602" s="2672"/>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7"/>
      <c r="KB602" s="1657"/>
      <c r="KG602" s="1657"/>
      <c r="KL602" s="1657"/>
      <c r="KM602" s="1657"/>
      <c r="KN602" s="1657"/>
      <c r="KO602" s="1657"/>
      <c r="KP602" s="1657"/>
      <c r="KQ602" s="1657"/>
      <c r="KR602" s="1657"/>
      <c r="KS602" s="1657"/>
      <c r="KT602" s="1657"/>
      <c r="KU602" s="1657"/>
      <c r="KV602" s="1657"/>
      <c r="KW602" s="1657"/>
      <c r="KX602" s="1657"/>
      <c r="KY602" s="1657"/>
      <c r="KZ602" s="1657"/>
      <c r="LA602" s="1657"/>
      <c r="LB602" s="1657"/>
      <c r="LC602" s="1657"/>
      <c r="LD602" s="1657"/>
      <c r="LE602" s="1657"/>
      <c r="LF602" s="1657"/>
      <c r="LG602" s="1657"/>
      <c r="LN602" s="360"/>
      <c r="LO602" s="360"/>
    </row>
    <row r="603" spans="1:343" ht="14.25" customHeight="1">
      <c r="C603" s="358"/>
      <c r="D603" s="358"/>
      <c r="E603" s="358"/>
      <c r="F603" s="358"/>
      <c r="H603" s="2703" t="s">
        <v>3560</v>
      </c>
      <c r="I603" s="1786"/>
      <c r="K603" s="2711">
        <f>FC487</f>
        <v>0</v>
      </c>
      <c r="L603" s="2711">
        <f>FD487</f>
        <v>0</v>
      </c>
      <c r="M603" s="2711">
        <f>FE487</f>
        <v>0</v>
      </c>
      <c r="N603" s="2711">
        <f>FF487</f>
        <v>0</v>
      </c>
      <c r="O603" s="2711">
        <f>FG487</f>
        <v>0</v>
      </c>
      <c r="P603" s="2711">
        <f t="shared" si="368"/>
        <v>0</v>
      </c>
      <c r="Q603" s="2696" t="str">
        <f>'Part V-Revenues &amp; Expenses'!Q165</f>
        <v/>
      </c>
      <c r="S603" s="2672"/>
      <c r="T603" s="2672"/>
      <c r="U603" s="2672"/>
      <c r="V603" s="2672"/>
      <c r="W603" s="2672"/>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7"/>
      <c r="KB603" s="1657"/>
      <c r="KG603" s="1657"/>
      <c r="KL603" s="1657"/>
      <c r="KM603" s="1657"/>
      <c r="KN603" s="1657"/>
      <c r="KO603" s="1657"/>
      <c r="KP603" s="1657"/>
      <c r="KQ603" s="1657"/>
      <c r="KR603" s="1657"/>
      <c r="KS603" s="1657"/>
      <c r="KT603" s="1657"/>
      <c r="KU603" s="1657"/>
      <c r="KV603" s="1657"/>
      <c r="KW603" s="1657"/>
      <c r="KX603" s="1657"/>
      <c r="KY603" s="1657"/>
      <c r="KZ603" s="1657"/>
      <c r="LA603" s="1657"/>
      <c r="LB603" s="1657"/>
      <c r="LC603" s="1657"/>
      <c r="LD603" s="1657"/>
      <c r="LE603" s="1657"/>
      <c r="LF603" s="1657"/>
      <c r="LG603" s="1657"/>
      <c r="LN603" s="360"/>
      <c r="LO603" s="360"/>
    </row>
    <row r="604" spans="1:343" ht="14.25" customHeight="1">
      <c r="C604" s="358"/>
      <c r="D604" s="358"/>
      <c r="E604" s="358"/>
      <c r="F604" s="358"/>
      <c r="H604" s="2703" t="s">
        <v>3561</v>
      </c>
      <c r="I604" s="1786"/>
      <c r="K604" s="2711">
        <f>FH487</f>
        <v>0</v>
      </c>
      <c r="L604" s="2711">
        <f>FI487</f>
        <v>0</v>
      </c>
      <c r="M604" s="2711">
        <f>FJ487</f>
        <v>0</v>
      </c>
      <c r="N604" s="2711">
        <f>FK487</f>
        <v>0</v>
      </c>
      <c r="O604" s="2711">
        <f>FL487</f>
        <v>0</v>
      </c>
      <c r="P604" s="2711">
        <f t="shared" si="368"/>
        <v>0</v>
      </c>
      <c r="Q604" s="2696" t="str">
        <f>'Part V-Revenues &amp; Expenses'!Q166</f>
        <v/>
      </c>
      <c r="S604" s="2672"/>
      <c r="T604" s="2672"/>
      <c r="U604" s="2672"/>
      <c r="V604" s="2672"/>
      <c r="W604" s="2672"/>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7"/>
      <c r="KB604" s="1657"/>
      <c r="KG604" s="1657"/>
      <c r="KL604" s="1657"/>
      <c r="KM604" s="1657"/>
      <c r="KN604" s="1657"/>
      <c r="KO604" s="1657"/>
      <c r="KP604" s="1657"/>
      <c r="KQ604" s="1657"/>
      <c r="KR604" s="1657"/>
      <c r="KS604" s="1657"/>
      <c r="KT604" s="1657"/>
      <c r="KU604" s="1657"/>
      <c r="KV604" s="1657"/>
      <c r="KW604" s="1657"/>
      <c r="KX604" s="1657"/>
      <c r="KY604" s="1657"/>
      <c r="KZ604" s="1657"/>
      <c r="LA604" s="1657"/>
      <c r="LB604" s="1657"/>
      <c r="LC604" s="1657"/>
      <c r="LD604" s="1657"/>
      <c r="LE604" s="1657"/>
      <c r="LF604" s="1657"/>
      <c r="LG604" s="1657"/>
      <c r="LN604" s="360"/>
      <c r="LO604" s="360"/>
    </row>
    <row r="605" spans="1:343" ht="14.25" customHeight="1">
      <c r="C605" s="1656"/>
      <c r="D605" s="358"/>
      <c r="E605" s="358"/>
      <c r="F605" s="358"/>
      <c r="H605" s="359" t="s">
        <v>3562</v>
      </c>
      <c r="I605" s="794"/>
      <c r="K605" s="2698">
        <f>FM487</f>
        <v>0</v>
      </c>
      <c r="L605" s="2698">
        <f>FN487</f>
        <v>0</v>
      </c>
      <c r="M605" s="2698">
        <f>FO487</f>
        <v>0</v>
      </c>
      <c r="N605" s="2698">
        <f>FP487</f>
        <v>0</v>
      </c>
      <c r="O605" s="2698">
        <f>FQ487</f>
        <v>0</v>
      </c>
      <c r="P605" s="2711">
        <f t="shared" si="368"/>
        <v>0</v>
      </c>
      <c r="Q605" s="2696" t="str">
        <f>'Part V-Revenues &amp; Expenses'!Q167</f>
        <v/>
      </c>
      <c r="S605" s="2672"/>
      <c r="T605" s="2672"/>
      <c r="U605" s="2672"/>
      <c r="V605" s="2672"/>
      <c r="W605" s="2672"/>
      <c r="X605" s="1656"/>
      <c r="AA605" s="358"/>
      <c r="AB605" s="361"/>
      <c r="AC605" s="1656"/>
      <c r="AF605" s="358"/>
      <c r="AG605" s="361"/>
      <c r="AH605" s="1656"/>
      <c r="AK605" s="358"/>
      <c r="AL605" s="361"/>
      <c r="AM605" s="1656"/>
      <c r="AP605" s="358"/>
      <c r="AQ605" s="361"/>
      <c r="AR605" s="362"/>
      <c r="AS605" s="362"/>
      <c r="AT605" s="362"/>
      <c r="AU605" s="362"/>
      <c r="AV605" s="362"/>
      <c r="AW605" s="362"/>
      <c r="AX605" s="358"/>
      <c r="AY605" s="358"/>
      <c r="BB605" s="362"/>
      <c r="BC605" s="358"/>
      <c r="BD605" s="358"/>
      <c r="JW605" s="1657"/>
      <c r="KB605" s="1657"/>
      <c r="KG605" s="1657"/>
      <c r="KL605" s="1657"/>
      <c r="KM605" s="1657"/>
      <c r="KN605" s="1657"/>
      <c r="KO605" s="1657"/>
      <c r="KP605" s="1657"/>
      <c r="KQ605" s="1657"/>
      <c r="KR605" s="1657"/>
      <c r="KS605" s="1657"/>
      <c r="KT605" s="1657"/>
      <c r="KU605" s="1657"/>
      <c r="KV605" s="1657"/>
      <c r="KW605" s="1657"/>
      <c r="KX605" s="1657"/>
      <c r="KY605" s="1657"/>
      <c r="KZ605" s="1657"/>
      <c r="LA605" s="1657"/>
      <c r="LB605" s="1657"/>
      <c r="LC605" s="1657"/>
      <c r="LD605" s="1657"/>
      <c r="LE605" s="1657"/>
      <c r="LF605" s="1657"/>
      <c r="LG605" s="1657"/>
      <c r="LN605" s="360"/>
      <c r="LO605" s="360"/>
    </row>
    <row r="606" spans="1:343" ht="14.25" customHeight="1">
      <c r="C606" s="1656"/>
      <c r="D606" s="358"/>
      <c r="E606" s="358"/>
      <c r="F606" s="358"/>
      <c r="H606" s="2704" t="s">
        <v>3643</v>
      </c>
      <c r="I606" s="2705"/>
      <c r="J606" s="2688"/>
      <c r="K606" s="2712">
        <f>SUM(K599:K605)</f>
        <v>0</v>
      </c>
      <c r="L606" s="2712">
        <f>SUM(L599:L605)</f>
        <v>8400</v>
      </c>
      <c r="M606" s="2712">
        <f>SUM(M599:M605)</f>
        <v>21600</v>
      </c>
      <c r="N606" s="2712">
        <f>SUM(N599:N605)</f>
        <v>28800</v>
      </c>
      <c r="O606" s="2712">
        <f>SUM(O599:O605)</f>
        <v>0</v>
      </c>
      <c r="P606" s="2712">
        <f>SUM(K606:O606)</f>
        <v>58800</v>
      </c>
      <c r="S606" s="2672"/>
      <c r="T606" s="2672"/>
      <c r="U606" s="2672"/>
      <c r="V606" s="2672"/>
      <c r="W606" s="2672"/>
      <c r="X606" s="1656"/>
      <c r="AA606" s="358"/>
      <c r="AB606" s="361"/>
      <c r="AC606" s="1656"/>
      <c r="AF606" s="358"/>
      <c r="AG606" s="361"/>
      <c r="AH606" s="1656"/>
      <c r="AK606" s="358"/>
      <c r="AL606" s="361"/>
      <c r="AM606" s="1656"/>
      <c r="AP606" s="358"/>
      <c r="AQ606" s="361"/>
      <c r="AR606" s="362"/>
      <c r="AS606" s="362"/>
      <c r="AT606" s="362"/>
      <c r="AU606" s="362"/>
      <c r="AV606" s="362"/>
      <c r="AW606" s="362"/>
      <c r="AX606" s="358"/>
      <c r="AY606" s="358"/>
      <c r="BB606" s="362"/>
      <c r="BC606" s="358"/>
      <c r="BD606" s="358"/>
      <c r="JW606" s="1657"/>
      <c r="KB606" s="1657"/>
      <c r="KG606" s="1657"/>
      <c r="KL606" s="1657"/>
      <c r="KM606" s="1657"/>
      <c r="KN606" s="1657"/>
      <c r="KO606" s="1657"/>
      <c r="KP606" s="1657"/>
      <c r="KQ606" s="1657"/>
      <c r="KR606" s="1657"/>
      <c r="KS606" s="1657"/>
      <c r="KT606" s="1657"/>
      <c r="KU606" s="1657"/>
      <c r="KV606" s="1657"/>
      <c r="KW606" s="1657"/>
      <c r="KX606" s="1657"/>
      <c r="KY606" s="1657"/>
      <c r="KZ606" s="1657"/>
      <c r="LA606" s="1657"/>
      <c r="LB606" s="1657"/>
      <c r="LC606" s="1657"/>
      <c r="LD606" s="1657"/>
      <c r="LE606" s="1657"/>
      <c r="LF606" s="1657"/>
      <c r="LG606" s="1657"/>
      <c r="LN606" s="360"/>
      <c r="LO606" s="360"/>
    </row>
    <row r="607" spans="1:343" ht="14.25" customHeight="1">
      <c r="C607" s="358" t="s">
        <v>290</v>
      </c>
      <c r="D607" s="358"/>
      <c r="E607" s="358"/>
      <c r="F607" s="358"/>
      <c r="G607" s="358"/>
      <c r="K607" s="2711">
        <f>FR487</f>
        <v>0</v>
      </c>
      <c r="L607" s="2711">
        <f>FS487</f>
        <v>2800</v>
      </c>
      <c r="M607" s="2711">
        <f>FT487</f>
        <v>7200</v>
      </c>
      <c r="N607" s="2711">
        <f>FU487</f>
        <v>9600</v>
      </c>
      <c r="O607" s="2711">
        <f>FV487</f>
        <v>0</v>
      </c>
      <c r="P607" s="2711">
        <f>SUM(K607:O607)</f>
        <v>19600</v>
      </c>
      <c r="Q607" s="2696">
        <f>'Part V-Revenues &amp; Expenses'!Q169</f>
        <v>980</v>
      </c>
      <c r="S607" s="2672"/>
      <c r="T607" s="2672"/>
      <c r="U607" s="2672"/>
      <c r="V607" s="2672"/>
      <c r="W607" s="2672"/>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7"/>
      <c r="KB607" s="1657"/>
      <c r="KG607" s="1657"/>
      <c r="KL607" s="1657"/>
      <c r="KM607" s="1657"/>
      <c r="KN607" s="1657"/>
      <c r="KO607" s="1657"/>
      <c r="KP607" s="1657"/>
      <c r="KQ607" s="1657"/>
      <c r="KR607" s="1657"/>
      <c r="KS607" s="1657"/>
      <c r="KT607" s="1657"/>
      <c r="KU607" s="1657"/>
      <c r="KV607" s="1657"/>
      <c r="KW607" s="1657"/>
      <c r="KX607" s="1657"/>
      <c r="KY607" s="1657"/>
      <c r="KZ607" s="1657"/>
      <c r="LA607" s="1657"/>
      <c r="LB607" s="1657"/>
      <c r="LC607" s="1657"/>
      <c r="LD607" s="1657"/>
      <c r="LE607" s="1657"/>
      <c r="LF607" s="1657"/>
      <c r="LG607" s="1657"/>
      <c r="LN607" s="360"/>
      <c r="LO607" s="360"/>
    </row>
    <row r="608" spans="1:343" ht="14.25" customHeight="1">
      <c r="C608" s="2713" t="s">
        <v>1069</v>
      </c>
      <c r="D608" s="2687"/>
      <c r="E608" s="2687"/>
      <c r="F608" s="2687"/>
      <c r="G608" s="2687"/>
      <c r="H608" s="2688"/>
      <c r="I608" s="2688"/>
      <c r="J608" s="2688"/>
      <c r="K608" s="2714">
        <f>SUM(K606:K607)</f>
        <v>0</v>
      </c>
      <c r="L608" s="2714">
        <f>SUM(L606:L607)</f>
        <v>11200</v>
      </c>
      <c r="M608" s="2714">
        <f>SUM(M606:M607)</f>
        <v>28800</v>
      </c>
      <c r="N608" s="2714">
        <f>SUM(N606:N607)</f>
        <v>38400</v>
      </c>
      <c r="O608" s="2714">
        <f>SUM(O606:O607)</f>
        <v>0</v>
      </c>
      <c r="P608" s="2714">
        <f>SUM(K608:O608)</f>
        <v>78400</v>
      </c>
      <c r="S608" s="2672"/>
      <c r="T608" s="2672"/>
      <c r="U608" s="2672"/>
      <c r="V608" s="2672"/>
      <c r="W608" s="2672"/>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7"/>
      <c r="KB608" s="1657"/>
      <c r="KG608" s="1657"/>
      <c r="KL608" s="1657"/>
      <c r="KM608" s="1657"/>
      <c r="KN608" s="1657"/>
      <c r="KO608" s="1657"/>
      <c r="KP608" s="1657"/>
      <c r="KQ608" s="1657"/>
      <c r="KR608" s="1657"/>
      <c r="KS608" s="1657"/>
      <c r="KT608" s="1657"/>
      <c r="KU608" s="1657"/>
      <c r="KV608" s="1657"/>
      <c r="KW608" s="1657"/>
      <c r="KX608" s="1657"/>
      <c r="KY608" s="1657"/>
      <c r="KZ608" s="1657"/>
      <c r="LA608" s="1657"/>
      <c r="LB608" s="1657"/>
      <c r="LC608" s="1657"/>
      <c r="LD608" s="1657"/>
      <c r="LE608" s="1657"/>
      <c r="LF608" s="1657"/>
      <c r="LG608" s="1657"/>
      <c r="LN608" s="360"/>
      <c r="LO608" s="360"/>
      <c r="ME608" s="360"/>
    </row>
    <row r="609" spans="1:380" ht="14.25" customHeight="1">
      <c r="C609" s="358" t="s">
        <v>2303</v>
      </c>
      <c r="D609" s="358"/>
      <c r="E609" s="358"/>
      <c r="F609" s="358"/>
      <c r="G609" s="358"/>
      <c r="K609" s="2711">
        <f>GB487</f>
        <v>0</v>
      </c>
      <c r="L609" s="2711">
        <f>GC487</f>
        <v>0</v>
      </c>
      <c r="M609" s="2711">
        <f>GD487</f>
        <v>0</v>
      </c>
      <c r="N609" s="2711">
        <f>GE487</f>
        <v>0</v>
      </c>
      <c r="O609" s="2711">
        <f>GF487</f>
        <v>0</v>
      </c>
      <c r="P609" s="2711">
        <f>SUM(K609:O609)</f>
        <v>0</v>
      </c>
      <c r="Q609" s="2696" t="str">
        <f>'Part V-Revenues &amp; Expenses'!Q171</f>
        <v/>
      </c>
      <c r="S609" s="2672"/>
      <c r="T609" s="2672"/>
      <c r="U609" s="2672"/>
      <c r="V609" s="2672"/>
      <c r="W609" s="2672"/>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7"/>
      <c r="KB609" s="1657"/>
      <c r="KG609" s="1657"/>
      <c r="KL609" s="1657"/>
      <c r="KM609" s="1657"/>
      <c r="KN609" s="1657"/>
      <c r="KO609" s="1657"/>
      <c r="KP609" s="1657"/>
      <c r="KQ609" s="1657"/>
      <c r="KR609" s="1657"/>
      <c r="KS609" s="1657"/>
      <c r="KT609" s="1657"/>
      <c r="KU609" s="1657"/>
      <c r="KV609" s="1657"/>
      <c r="KW609" s="1657"/>
      <c r="KX609" s="1657"/>
      <c r="KY609" s="1657"/>
      <c r="KZ609" s="1657"/>
      <c r="LA609" s="1657"/>
      <c r="LB609" s="1657"/>
      <c r="LC609" s="1657"/>
      <c r="LD609" s="1657"/>
      <c r="LE609" s="1657"/>
      <c r="LF609" s="1657"/>
      <c r="LG609" s="1657"/>
      <c r="LN609" s="360"/>
      <c r="LO609" s="360"/>
      <c r="ME609" s="360"/>
    </row>
    <row r="610" spans="1:380" ht="14.25" customHeight="1">
      <c r="C610" s="1656" t="s">
        <v>503</v>
      </c>
      <c r="D610" s="358"/>
      <c r="E610" s="358"/>
      <c r="F610" s="358"/>
      <c r="G610" s="358"/>
      <c r="K610" s="2715">
        <f>SUM(K608:K609)</f>
        <v>0</v>
      </c>
      <c r="L610" s="2715">
        <f>SUM(L608:L609)</f>
        <v>11200</v>
      </c>
      <c r="M610" s="2715">
        <f>SUM(M608:M609)</f>
        <v>28800</v>
      </c>
      <c r="N610" s="2715">
        <f>SUM(N608:N609)</f>
        <v>38400</v>
      </c>
      <c r="O610" s="2715">
        <f>SUM(O608:O609)</f>
        <v>0</v>
      </c>
      <c r="P610" s="2715">
        <f>SUM(K610:O610)</f>
        <v>78400</v>
      </c>
      <c r="S610" s="2672"/>
      <c r="T610" s="2672"/>
      <c r="U610" s="2672"/>
      <c r="V610" s="2672"/>
      <c r="W610" s="2672"/>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7"/>
      <c r="KB610" s="1657"/>
      <c r="KG610" s="1657"/>
      <c r="KL610" s="1657"/>
      <c r="KM610" s="1657"/>
      <c r="KN610" s="1657"/>
      <c r="KO610" s="1657"/>
      <c r="KP610" s="1657"/>
      <c r="KQ610" s="1657"/>
      <c r="KR610" s="1657"/>
      <c r="KS610" s="1657"/>
      <c r="KT610" s="1657"/>
      <c r="KU610" s="1657"/>
      <c r="KV610" s="1657"/>
      <c r="KW610" s="1657"/>
      <c r="KX610" s="1657"/>
      <c r="KY610" s="1657"/>
      <c r="KZ610" s="1657"/>
      <c r="LA610" s="1657"/>
      <c r="LB610" s="1657"/>
      <c r="LC610" s="1657"/>
      <c r="LD610" s="1657"/>
      <c r="LE610" s="1657"/>
      <c r="LF610" s="1657"/>
      <c r="LG610" s="1657"/>
      <c r="LN610" s="360"/>
      <c r="LO610" s="360"/>
      <c r="ME610" s="360"/>
    </row>
    <row r="611" spans="1:380" ht="14.1" customHeight="1">
      <c r="JW611" s="1657"/>
      <c r="KB611" s="1657"/>
      <c r="KG611" s="1657"/>
      <c r="KL611" s="1657"/>
      <c r="KM611" s="1657"/>
      <c r="KN611" s="1657"/>
      <c r="KO611" s="1657"/>
      <c r="KP611" s="1657"/>
      <c r="KQ611" s="1657"/>
      <c r="KR611" s="1657"/>
      <c r="KS611" s="1657"/>
      <c r="KT611" s="1657"/>
      <c r="KU611" s="1657"/>
      <c r="KV611" s="1657"/>
      <c r="KW611" s="1657"/>
      <c r="KX611" s="1657"/>
      <c r="KY611" s="1657"/>
      <c r="KZ611" s="1657"/>
      <c r="LA611" s="1657"/>
      <c r="LB611" s="1657"/>
      <c r="LC611" s="1657"/>
      <c r="LD611" s="1657"/>
      <c r="LE611" s="1657"/>
      <c r="LF611" s="1657"/>
      <c r="LG611" s="1657"/>
      <c r="LN611" s="360"/>
      <c r="MD611" s="360"/>
      <c r="ME611" s="360"/>
    </row>
    <row r="612" spans="1:380" s="358" customFormat="1" ht="14.1" customHeight="1">
      <c r="JW612" s="1803"/>
      <c r="KB612" s="1803"/>
      <c r="KG612" s="1803"/>
      <c r="KL612" s="1803"/>
      <c r="KM612" s="1803"/>
      <c r="KN612" s="1803"/>
      <c r="KO612" s="1803"/>
      <c r="KP612" s="1803"/>
      <c r="KQ612" s="1803"/>
      <c r="KR612" s="1803"/>
      <c r="KS612" s="1803"/>
      <c r="KT612" s="1803"/>
      <c r="KU612" s="1803"/>
      <c r="KV612" s="1803"/>
      <c r="KW612" s="1803"/>
      <c r="KX612" s="1803"/>
      <c r="KY612" s="1803"/>
      <c r="KZ612" s="1803"/>
      <c r="LA612" s="1803"/>
      <c r="LB612" s="1803"/>
      <c r="LC612" s="1803"/>
      <c r="LD612" s="1803"/>
      <c r="LE612" s="1803"/>
      <c r="LF612" s="1803"/>
      <c r="LG612" s="1803"/>
      <c r="LN612" s="1656"/>
      <c r="MD612" s="1656"/>
      <c r="ME612" s="1656"/>
      <c r="NP612" s="356"/>
    </row>
    <row r="613" spans="1:380" s="358" customFormat="1" ht="14.25" customHeight="1">
      <c r="C613" s="358" t="s">
        <v>5090</v>
      </c>
      <c r="K613" s="2716" t="str">
        <f>'Part V-Revenues &amp; Expenses'!K175</f>
        <v/>
      </c>
      <c r="L613" s="2716">
        <f>'Part V-Revenues &amp; Expenses'!L175</f>
        <v>700</v>
      </c>
      <c r="M613" s="2716">
        <f>'Part V-Revenues &amp; Expenses'!M175</f>
        <v>900</v>
      </c>
      <c r="N613" s="2716">
        <f>'Part V-Revenues &amp; Expenses'!N175</f>
        <v>1200</v>
      </c>
      <c r="O613" s="2716" t="str">
        <f>'Part V-Revenues &amp; Expenses'!O175</f>
        <v/>
      </c>
      <c r="P613" s="2716">
        <f>'Part V-Revenues &amp; Expenses'!P175</f>
        <v>0</v>
      </c>
      <c r="JW613" s="1803"/>
      <c r="KB613" s="1803"/>
      <c r="KG613" s="1803"/>
      <c r="KL613" s="1803"/>
      <c r="KM613" s="1803"/>
      <c r="KN613" s="1803"/>
      <c r="KO613" s="1803"/>
      <c r="KP613" s="1803"/>
      <c r="KQ613" s="1803"/>
      <c r="KR613" s="1803"/>
      <c r="KS613" s="1803"/>
      <c r="KT613" s="1803"/>
      <c r="KU613" s="1803"/>
      <c r="KV613" s="1803"/>
      <c r="KW613" s="1803"/>
      <c r="KX613" s="1803"/>
      <c r="KY613" s="1803"/>
      <c r="KZ613" s="1803"/>
      <c r="LA613" s="1803"/>
      <c r="LB613" s="1803"/>
      <c r="LC613" s="1803"/>
      <c r="LD613" s="1803"/>
      <c r="LE613" s="1803"/>
      <c r="LF613" s="1803"/>
      <c r="LG613" s="1803"/>
      <c r="LN613" s="1656"/>
      <c r="MD613" s="1656"/>
      <c r="ME613" s="1656"/>
      <c r="NP613" s="356"/>
    </row>
    <row r="614" spans="1:380" s="358" customFormat="1" ht="14.1" customHeight="1">
      <c r="JW614" s="1803"/>
      <c r="KB614" s="1803"/>
      <c r="KG614" s="1803"/>
      <c r="KL614" s="1803"/>
      <c r="KM614" s="1803"/>
      <c r="KN614" s="1803"/>
      <c r="KO614" s="1803"/>
      <c r="KP614" s="1803"/>
      <c r="KQ614" s="1803"/>
      <c r="KR614" s="1803"/>
      <c r="KS614" s="1803"/>
      <c r="KT614" s="1803"/>
      <c r="KU614" s="1803"/>
      <c r="KV614" s="1803"/>
      <c r="KW614" s="1803"/>
      <c r="KX614" s="1803"/>
      <c r="KY614" s="1803"/>
      <c r="KZ614" s="1803"/>
      <c r="LA614" s="1803"/>
      <c r="LB614" s="1803"/>
      <c r="LC614" s="1803"/>
      <c r="LD614" s="1803"/>
      <c r="LE614" s="1803"/>
      <c r="LF614" s="1803"/>
      <c r="LG614" s="1803"/>
      <c r="LN614" s="1656"/>
      <c r="MD614" s="1656"/>
      <c r="ME614" s="1656"/>
      <c r="NP614" s="356"/>
    </row>
    <row r="615" spans="1:380" s="358" customFormat="1" ht="14.1" customHeight="1">
      <c r="A615" s="360" t="s">
        <v>690</v>
      </c>
      <c r="B615" s="360" t="s">
        <v>4543</v>
      </c>
      <c r="JW615" s="1803"/>
      <c r="KB615" s="1803"/>
      <c r="KG615" s="1803"/>
      <c r="KL615" s="1803"/>
      <c r="KM615" s="1803"/>
      <c r="KN615" s="1803"/>
      <c r="KO615" s="1803"/>
      <c r="KP615" s="1803"/>
      <c r="KQ615" s="1803"/>
      <c r="KR615" s="1803"/>
      <c r="KS615" s="1803"/>
      <c r="KT615" s="1803"/>
      <c r="KU615" s="1803"/>
      <c r="KV615" s="1803"/>
      <c r="KW615" s="1803"/>
      <c r="KX615" s="1803"/>
      <c r="KY615" s="1803"/>
      <c r="KZ615" s="1803"/>
      <c r="LA615" s="1803"/>
      <c r="LB615" s="1803"/>
      <c r="LC615" s="1803"/>
      <c r="LD615" s="1803"/>
      <c r="LE615" s="1803"/>
      <c r="LF615" s="1803"/>
      <c r="LG615" s="1803"/>
      <c r="LN615" s="1656"/>
      <c r="MD615" s="1656"/>
      <c r="ME615" s="1656"/>
      <c r="NP615" s="356"/>
    </row>
    <row r="616" spans="1:380" s="1728" customFormat="1" ht="13.5" customHeight="1">
      <c r="A616" s="2500"/>
      <c r="C616" s="376" t="s">
        <v>5091</v>
      </c>
      <c r="K616" s="2531">
        <f>'Part V-Revenues &amp; Expenses'!K178</f>
        <v>16335</v>
      </c>
      <c r="L616" s="2531"/>
      <c r="Z616" s="1533">
        <v>68</v>
      </c>
    </row>
    <row r="617" spans="1:380" s="1728" customFormat="1" ht="13.35" customHeight="1">
      <c r="A617" s="2500"/>
      <c r="C617" s="376" t="s">
        <v>242</v>
      </c>
      <c r="K617" s="2531">
        <f>P610+K616</f>
        <v>94735</v>
      </c>
      <c r="L617" s="2531"/>
      <c r="Z617" s="1533">
        <v>69</v>
      </c>
    </row>
    <row r="618" spans="1:380" s="358" customFormat="1" ht="14.1" customHeight="1">
      <c r="A618" s="2717"/>
      <c r="JW618" s="1803"/>
      <c r="KB618" s="1803"/>
      <c r="KG618" s="1803"/>
      <c r="KL618" s="1803"/>
      <c r="KM618" s="1803"/>
      <c r="KN618" s="1803"/>
      <c r="KO618" s="1803"/>
      <c r="KP618" s="1803"/>
      <c r="KQ618" s="1803"/>
      <c r="KR618" s="1803"/>
      <c r="KS618" s="1803"/>
      <c r="KT618" s="1803"/>
      <c r="KU618" s="1803"/>
      <c r="KV618" s="1803"/>
      <c r="KW618" s="1803"/>
      <c r="KX618" s="1803"/>
      <c r="KY618" s="1803"/>
      <c r="KZ618" s="1803"/>
      <c r="LA618" s="1803"/>
      <c r="LB618" s="1803"/>
      <c r="LC618" s="1803"/>
      <c r="LD618" s="1803"/>
      <c r="LE618" s="1803"/>
      <c r="LF618" s="1803"/>
      <c r="LG618" s="1803"/>
      <c r="LN618" s="1656"/>
      <c r="MD618" s="1656"/>
      <c r="ME618" s="1656"/>
      <c r="NP618" s="356"/>
    </row>
    <row r="619" spans="1:380" ht="14.1" customHeight="1">
      <c r="A619" s="360" t="s">
        <v>1661</v>
      </c>
      <c r="B619" s="360" t="s">
        <v>5092</v>
      </c>
      <c r="S619" s="360" t="s">
        <v>1706</v>
      </c>
      <c r="U619" s="358"/>
      <c r="KM619" s="1657"/>
      <c r="KN619" s="1657"/>
      <c r="KO619" s="1657"/>
      <c r="KP619" s="1657"/>
      <c r="KQ619" s="1657"/>
      <c r="KR619" s="1657"/>
      <c r="KS619" s="1657"/>
      <c r="KT619" s="1657"/>
      <c r="KU619" s="1657"/>
      <c r="KV619" s="1657"/>
      <c r="KW619" s="1657"/>
      <c r="KX619" s="1657"/>
      <c r="KY619" s="1657"/>
      <c r="KZ619" s="1657"/>
      <c r="LA619" s="1657"/>
      <c r="LB619" s="1657"/>
      <c r="LC619" s="1657"/>
      <c r="LD619" s="1657"/>
      <c r="LE619" s="1657"/>
      <c r="LF619" s="1657"/>
      <c r="LG619" s="1657"/>
      <c r="LH619" s="1657"/>
      <c r="LO619" s="360"/>
      <c r="ME619" s="360"/>
      <c r="MF619" s="360"/>
    </row>
    <row r="620" spans="1:380" ht="2.25" customHeight="1">
      <c r="Q620" s="358"/>
      <c r="R620" s="358"/>
      <c r="JW620" s="1657"/>
      <c r="KB620" s="1657"/>
      <c r="KG620" s="1657"/>
      <c r="KL620" s="1657"/>
      <c r="KM620" s="1657"/>
      <c r="KN620" s="1657"/>
      <c r="KO620" s="1657"/>
      <c r="KP620" s="1657"/>
      <c r="KQ620" s="1657"/>
      <c r="KR620" s="1657"/>
      <c r="KS620" s="1657"/>
      <c r="KT620" s="1657"/>
      <c r="KU620" s="1657"/>
      <c r="KV620" s="1657"/>
      <c r="KW620" s="1657"/>
      <c r="KX620" s="1657"/>
      <c r="KY620" s="1657"/>
      <c r="KZ620" s="1657"/>
      <c r="LA620" s="1657"/>
      <c r="LB620" s="1657"/>
      <c r="LC620" s="1657"/>
      <c r="LD620" s="1657"/>
      <c r="LE620" s="1657"/>
      <c r="LF620" s="1657"/>
      <c r="LG620" s="1657"/>
      <c r="LN620" s="360"/>
      <c r="MD620" s="360"/>
      <c r="ME620" s="360"/>
    </row>
    <row r="621" spans="1:380" s="358" customFormat="1" ht="15.6" customHeight="1">
      <c r="B621" s="1545" t="s">
        <v>951</v>
      </c>
      <c r="C621" s="1418"/>
      <c r="D621" s="1418"/>
      <c r="E621" s="1418"/>
      <c r="F621" s="1418"/>
      <c r="G621" s="1418"/>
      <c r="H621" s="2718">
        <f>'Part V-Revenues &amp; Expenses'!H183</f>
        <v>9600</v>
      </c>
      <c r="I621" s="2718"/>
      <c r="J621" s="2703" t="s">
        <v>5093</v>
      </c>
      <c r="M621" s="1418"/>
      <c r="N621" s="1418"/>
      <c r="O621" s="1418"/>
      <c r="P621" s="2719">
        <f>IF(M488=0,0,H621/M488)</f>
        <v>7.7504359620228641E-3</v>
      </c>
      <c r="Q621" s="1418"/>
      <c r="R621" s="1418"/>
      <c r="S621" s="1656" t="str">
        <f>B621</f>
        <v>Ancillary Income</v>
      </c>
      <c r="JW621" s="1803"/>
      <c r="KB621" s="1803"/>
      <c r="KG621" s="1803"/>
      <c r="KL621" s="1803"/>
      <c r="KM621" s="1803"/>
      <c r="KN621" s="1803"/>
      <c r="KO621" s="1803"/>
      <c r="KP621" s="1803"/>
      <c r="KQ621" s="1803"/>
      <c r="KR621" s="1803"/>
      <c r="KS621" s="1803"/>
      <c r="KT621" s="1803"/>
      <c r="KU621" s="1803"/>
      <c r="KV621" s="1803"/>
      <c r="KW621" s="1803"/>
      <c r="KX621" s="1803"/>
      <c r="KY621" s="1803"/>
      <c r="KZ621" s="1803"/>
      <c r="LA621" s="1803"/>
      <c r="LB621" s="1803"/>
      <c r="LC621" s="1803"/>
      <c r="LD621" s="1803"/>
      <c r="LE621" s="1803"/>
      <c r="LF621" s="1803"/>
      <c r="LG621" s="1803"/>
      <c r="LN621" s="1656"/>
      <c r="MD621" s="1656"/>
      <c r="ME621" s="1656"/>
    </row>
    <row r="622" spans="1:380" ht="15.6" customHeight="1">
      <c r="B622" s="2649"/>
      <c r="C622" s="359"/>
      <c r="D622" s="1418"/>
      <c r="E622" s="359"/>
      <c r="F622" s="359"/>
      <c r="G622" s="359"/>
      <c r="H622" s="359"/>
      <c r="I622" s="359"/>
      <c r="J622" s="2708"/>
      <c r="K622" s="359"/>
      <c r="L622" s="359"/>
      <c r="M622" s="359"/>
      <c r="N622" s="359"/>
      <c r="O622" s="359"/>
      <c r="P622" s="359"/>
      <c r="Q622" s="1418"/>
      <c r="R622" s="1418"/>
      <c r="JW622" s="1657"/>
      <c r="KB622" s="1657"/>
      <c r="KG622" s="1657"/>
      <c r="KL622" s="1657"/>
      <c r="KM622" s="1657"/>
      <c r="KN622" s="1657"/>
      <c r="KO622" s="1657"/>
      <c r="KP622" s="1657"/>
      <c r="KQ622" s="1657"/>
      <c r="KR622" s="1657"/>
      <c r="KS622" s="1657"/>
      <c r="KT622" s="1657"/>
      <c r="KU622" s="1657"/>
      <c r="KV622" s="1657"/>
      <c r="KW622" s="1657"/>
      <c r="KX622" s="1657"/>
      <c r="KY622" s="1657"/>
      <c r="KZ622" s="1657"/>
      <c r="LA622" s="1657"/>
      <c r="LB622" s="1657"/>
      <c r="LC622" s="1657"/>
      <c r="LD622" s="1657"/>
      <c r="LE622" s="1657"/>
      <c r="LF622" s="1657"/>
      <c r="LG622" s="1657"/>
      <c r="LN622" s="360"/>
      <c r="MD622" s="360"/>
      <c r="ME622" s="360"/>
      <c r="NP622" s="358"/>
    </row>
    <row r="623" spans="1:380" ht="15.6" customHeight="1">
      <c r="B623" s="2649" t="s">
        <v>1354</v>
      </c>
      <c r="C623" s="359"/>
      <c r="D623" s="359"/>
      <c r="E623" s="359"/>
      <c r="F623" s="359"/>
      <c r="G623" s="359"/>
      <c r="H623" s="359"/>
      <c r="I623" s="359"/>
      <c r="J623" s="2649"/>
      <c r="K623" s="359"/>
      <c r="L623" s="2720"/>
      <c r="M623" s="359"/>
      <c r="N623" s="359"/>
      <c r="O623" s="359"/>
      <c r="P623" s="359"/>
      <c r="Q623" s="359"/>
      <c r="S623" s="2645" t="str">
        <f>B623</f>
        <v>Other Income (OI) by Year:</v>
      </c>
      <c r="JW623" s="1657"/>
      <c r="KB623" s="1657"/>
      <c r="KG623" s="1657"/>
      <c r="KL623" s="1657"/>
      <c r="KM623" s="1657"/>
      <c r="KN623" s="1657"/>
      <c r="KO623" s="1657"/>
      <c r="KP623" s="1657"/>
      <c r="KQ623" s="1657"/>
      <c r="KR623" s="1657"/>
      <c r="KS623" s="1657"/>
      <c r="KT623" s="1657"/>
      <c r="KU623" s="1657"/>
      <c r="KV623" s="1657"/>
      <c r="KW623" s="1657"/>
      <c r="KX623" s="1657"/>
      <c r="KY623" s="1657"/>
      <c r="KZ623" s="1657"/>
      <c r="LA623" s="1657"/>
      <c r="LB623" s="1657"/>
      <c r="LC623" s="1657"/>
      <c r="LD623" s="1657"/>
      <c r="LE623" s="1657"/>
      <c r="LF623" s="1657"/>
      <c r="LG623" s="1657"/>
      <c r="LN623" s="360"/>
      <c r="MD623" s="360"/>
      <c r="ME623" s="360"/>
      <c r="NP623" s="358"/>
    </row>
    <row r="624" spans="1:380" ht="15.6" customHeight="1">
      <c r="B624" s="2721" t="s">
        <v>2106</v>
      </c>
      <c r="C624" s="359"/>
      <c r="D624" s="359"/>
      <c r="E624" s="359"/>
      <c r="F624" s="359"/>
      <c r="H624" s="2722">
        <v>1</v>
      </c>
      <c r="I624" s="2722">
        <v>2</v>
      </c>
      <c r="J624" s="2722">
        <v>3</v>
      </c>
      <c r="K624" s="2722">
        <v>4</v>
      </c>
      <c r="L624" s="2722">
        <v>5</v>
      </c>
      <c r="M624" s="2722">
        <v>6</v>
      </c>
      <c r="N624" s="2722">
        <v>7</v>
      </c>
      <c r="O624" s="2722">
        <v>8</v>
      </c>
      <c r="P624" s="2722">
        <v>9</v>
      </c>
      <c r="Q624" s="2722">
        <v>10</v>
      </c>
      <c r="R624" s="2723"/>
      <c r="S624" s="358" t="str">
        <f>B624</f>
        <v>Included in Mgt Fee:</v>
      </c>
      <c r="JW624" s="1657"/>
      <c r="KB624" s="1657"/>
      <c r="KG624" s="1657"/>
      <c r="KL624" s="1657"/>
      <c r="KM624" s="1657"/>
      <c r="KN624" s="1657"/>
      <c r="KO624" s="1657"/>
      <c r="KP624" s="1657"/>
      <c r="KQ624" s="1657"/>
      <c r="KR624" s="1657"/>
      <c r="KS624" s="1657"/>
      <c r="KT624" s="1657"/>
      <c r="KU624" s="1657"/>
      <c r="KV624" s="1657"/>
      <c r="KW624" s="1657"/>
      <c r="KX624" s="1657"/>
      <c r="KY624" s="1657"/>
      <c r="KZ624" s="1657"/>
      <c r="LA624" s="1657"/>
      <c r="LB624" s="1657"/>
      <c r="LC624" s="1657"/>
      <c r="LD624" s="1657"/>
      <c r="LE624" s="1657"/>
      <c r="LF624" s="1657"/>
      <c r="LG624" s="1657"/>
      <c r="LN624" s="360"/>
      <c r="MD624" s="360"/>
      <c r="ME624" s="360"/>
      <c r="NP624" s="358"/>
    </row>
    <row r="625" spans="2:380" ht="15.6" customHeight="1">
      <c r="B625" s="1418" t="s">
        <v>952</v>
      </c>
      <c r="C625" s="1418"/>
      <c r="D625" s="1418"/>
      <c r="E625" s="1418"/>
      <c r="F625" s="1418"/>
      <c r="H625" s="2724">
        <f>'Part V-Revenues &amp; Expenses'!H187</f>
        <v>0</v>
      </c>
      <c r="I625" s="2724">
        <f>'Part V-Revenues &amp; Expenses'!I187</f>
        <v>0</v>
      </c>
      <c r="J625" s="2724">
        <f>'Part V-Revenues &amp; Expenses'!J187</f>
        <v>0</v>
      </c>
      <c r="K625" s="2724">
        <f>'Part V-Revenues &amp; Expenses'!K187</f>
        <v>0</v>
      </c>
      <c r="L625" s="2724">
        <f>'Part V-Revenues &amp; Expenses'!L187</f>
        <v>0</v>
      </c>
      <c r="M625" s="2724">
        <f>'Part V-Revenues &amp; Expenses'!M187</f>
        <v>0</v>
      </c>
      <c r="N625" s="2724">
        <f>'Part V-Revenues &amp; Expenses'!N187</f>
        <v>0</v>
      </c>
      <c r="O625" s="2724">
        <f>'Part V-Revenues &amp; Expenses'!O187</f>
        <v>0</v>
      </c>
      <c r="P625" s="2724">
        <f>'Part V-Revenues &amp; Expenses'!P187</f>
        <v>0</v>
      </c>
      <c r="Q625" s="2724">
        <f>'Part V-Revenues &amp; Expenses'!Q187</f>
        <v>0</v>
      </c>
      <c r="R625" s="2716"/>
      <c r="S625" s="2672"/>
      <c r="T625" s="2672"/>
      <c r="U625" s="2672"/>
      <c r="V625" s="2672"/>
      <c r="W625" s="2672"/>
      <c r="JW625" s="1657"/>
      <c r="KB625" s="1657"/>
      <c r="KG625" s="1657"/>
      <c r="KL625" s="1657"/>
      <c r="KM625" s="1657"/>
      <c r="KN625" s="1657"/>
      <c r="KO625" s="1657"/>
      <c r="KP625" s="1657"/>
      <c r="KQ625" s="1657"/>
      <c r="KR625" s="1657"/>
      <c r="KS625" s="1657"/>
      <c r="KT625" s="1657"/>
      <c r="KU625" s="1657"/>
      <c r="KV625" s="1657"/>
      <c r="KW625" s="1657"/>
      <c r="KX625" s="1657"/>
      <c r="KY625" s="1657"/>
      <c r="KZ625" s="1657"/>
      <c r="LA625" s="1657"/>
      <c r="LB625" s="1657"/>
      <c r="LC625" s="1657"/>
      <c r="LD625" s="1657"/>
      <c r="LE625" s="1657"/>
      <c r="LF625" s="1657"/>
      <c r="LG625" s="1657"/>
      <c r="LN625" s="360"/>
      <c r="MD625" s="360"/>
      <c r="ME625" s="360"/>
    </row>
    <row r="626" spans="2:380" ht="15.6" customHeight="1">
      <c r="B626" s="1418" t="s">
        <v>689</v>
      </c>
      <c r="C626" s="1418">
        <f>'Part V-Revenues &amp; Expenses'!C188</f>
        <v>0</v>
      </c>
      <c r="D626" s="1418"/>
      <c r="E626" s="1418"/>
      <c r="F626" s="1418"/>
      <c r="H626" s="2724">
        <f>'Part V-Revenues &amp; Expenses'!H188</f>
        <v>0</v>
      </c>
      <c r="I626" s="2724">
        <f>'Part V-Revenues &amp; Expenses'!I188</f>
        <v>0</v>
      </c>
      <c r="J626" s="2724">
        <f>'Part V-Revenues &amp; Expenses'!J188</f>
        <v>0</v>
      </c>
      <c r="K626" s="2724">
        <f>'Part V-Revenues &amp; Expenses'!K188</f>
        <v>0</v>
      </c>
      <c r="L626" s="2724">
        <f>'Part V-Revenues &amp; Expenses'!L188</f>
        <v>0</v>
      </c>
      <c r="M626" s="2724">
        <f>'Part V-Revenues &amp; Expenses'!M188</f>
        <v>0</v>
      </c>
      <c r="N626" s="2724">
        <f>'Part V-Revenues &amp; Expenses'!N188</f>
        <v>0</v>
      </c>
      <c r="O626" s="2724">
        <f>'Part V-Revenues &amp; Expenses'!O188</f>
        <v>0</v>
      </c>
      <c r="P626" s="2724">
        <f>'Part V-Revenues &amp; Expenses'!P188</f>
        <v>0</v>
      </c>
      <c r="Q626" s="2724">
        <f>'Part V-Revenues &amp; Expenses'!Q188</f>
        <v>0</v>
      </c>
      <c r="R626" s="2716"/>
      <c r="S626" s="2672"/>
      <c r="T626" s="2672"/>
      <c r="U626" s="2672"/>
      <c r="V626" s="2672"/>
      <c r="W626" s="2672"/>
      <c r="JW626" s="1657"/>
      <c r="KB626" s="1657"/>
      <c r="KG626" s="1657"/>
      <c r="KL626" s="1657"/>
      <c r="KM626" s="1657"/>
      <c r="KN626" s="1657"/>
      <c r="KO626" s="1657"/>
      <c r="KP626" s="1657"/>
      <c r="KQ626" s="1657"/>
      <c r="KR626" s="1657"/>
      <c r="KS626" s="1657"/>
      <c r="KT626" s="1657"/>
      <c r="KU626" s="1657"/>
      <c r="KV626" s="1657"/>
      <c r="KW626" s="1657"/>
      <c r="KX626" s="1657"/>
      <c r="KY626" s="1657"/>
      <c r="KZ626" s="1657"/>
      <c r="LA626" s="1657"/>
      <c r="LB626" s="1657"/>
      <c r="LC626" s="1657"/>
      <c r="LD626" s="1657"/>
      <c r="LE626" s="1657"/>
      <c r="LF626" s="1657"/>
      <c r="LG626" s="1657"/>
      <c r="LN626" s="360"/>
      <c r="MD626" s="360"/>
      <c r="ME626" s="360"/>
    </row>
    <row r="627" spans="2:380" ht="15.6" customHeight="1">
      <c r="B627" s="1418"/>
      <c r="C627" s="1418" t="s">
        <v>869</v>
      </c>
      <c r="D627" s="1418"/>
      <c r="E627" s="1418"/>
      <c r="F627" s="1418"/>
      <c r="H627" s="2725">
        <f>SUM(H625:H626)</f>
        <v>0</v>
      </c>
      <c r="I627" s="2725">
        <f>SUM(I625:I626)</f>
        <v>0</v>
      </c>
      <c r="J627" s="2725">
        <f t="shared" ref="J627:Q627" si="369">SUM(J625:J626)</f>
        <v>0</v>
      </c>
      <c r="K627" s="2725">
        <f t="shared" si="369"/>
        <v>0</v>
      </c>
      <c r="L627" s="2725">
        <f t="shared" si="369"/>
        <v>0</v>
      </c>
      <c r="M627" s="2725">
        <f t="shared" si="369"/>
        <v>0</v>
      </c>
      <c r="N627" s="2725">
        <f t="shared" si="369"/>
        <v>0</v>
      </c>
      <c r="O627" s="2725">
        <f t="shared" si="369"/>
        <v>0</v>
      </c>
      <c r="P627" s="2725">
        <f t="shared" si="369"/>
        <v>0</v>
      </c>
      <c r="Q627" s="2725">
        <f t="shared" si="369"/>
        <v>0</v>
      </c>
      <c r="R627" s="362"/>
      <c r="S627" s="2672"/>
      <c r="T627" s="2672"/>
      <c r="U627" s="2672"/>
      <c r="V627" s="2672"/>
      <c r="W627" s="2672"/>
      <c r="JW627" s="1657"/>
      <c r="KB627" s="1657"/>
      <c r="KG627" s="1657"/>
      <c r="KL627" s="1657"/>
      <c r="KM627" s="1657"/>
      <c r="KN627" s="1657"/>
      <c r="KO627" s="1657"/>
      <c r="KP627" s="1657"/>
      <c r="KQ627" s="1657"/>
      <c r="KR627" s="1657"/>
      <c r="KS627" s="1657"/>
      <c r="KT627" s="1657"/>
      <c r="KU627" s="1657"/>
      <c r="KV627" s="1657"/>
      <c r="KW627" s="1657"/>
      <c r="KX627" s="1657"/>
      <c r="KY627" s="1657"/>
      <c r="KZ627" s="1657"/>
      <c r="LA627" s="1657"/>
      <c r="LB627" s="1657"/>
      <c r="LC627" s="1657"/>
      <c r="LD627" s="1657"/>
      <c r="LE627" s="1657"/>
      <c r="LF627" s="1657"/>
      <c r="LG627" s="1657"/>
      <c r="LN627" s="360"/>
      <c r="MD627" s="360"/>
      <c r="ME627" s="360"/>
      <c r="NP627" s="358"/>
    </row>
    <row r="628" spans="2:380" ht="15.6" customHeight="1">
      <c r="B628" s="2721" t="s">
        <v>5094</v>
      </c>
      <c r="C628" s="359"/>
      <c r="D628" s="359"/>
      <c r="E628" s="359"/>
      <c r="F628" s="359"/>
      <c r="H628" s="2726"/>
      <c r="I628" s="359"/>
      <c r="J628" s="359"/>
      <c r="K628" s="359"/>
      <c r="L628" s="359"/>
      <c r="M628" s="359"/>
      <c r="N628" s="359"/>
      <c r="O628" s="359"/>
      <c r="P628" s="359"/>
      <c r="Q628" s="359"/>
      <c r="S628" s="358" t="str">
        <f>B628</f>
        <v>NOT Included in Mgt Fee:</v>
      </c>
      <c r="JW628" s="1657"/>
      <c r="KB628" s="1657"/>
      <c r="KG628" s="1657"/>
      <c r="KL628" s="1657"/>
      <c r="KM628" s="1657"/>
      <c r="KN628" s="1657"/>
      <c r="KO628" s="1657"/>
      <c r="KP628" s="1657"/>
      <c r="KQ628" s="1657"/>
      <c r="KR628" s="1657"/>
      <c r="KS628" s="1657"/>
      <c r="KT628" s="1657"/>
      <c r="KU628" s="1657"/>
      <c r="KV628" s="1657"/>
      <c r="KW628" s="1657"/>
      <c r="KX628" s="1657"/>
      <c r="KY628" s="1657"/>
      <c r="KZ628" s="1657"/>
      <c r="LA628" s="1657"/>
      <c r="LB628" s="1657"/>
      <c r="LC628" s="1657"/>
      <c r="LD628" s="1657"/>
      <c r="LE628" s="1657"/>
      <c r="LF628" s="1657"/>
      <c r="LG628" s="1657"/>
      <c r="LN628" s="360"/>
      <c r="MD628" s="360"/>
      <c r="ME628" s="360"/>
    </row>
    <row r="629" spans="2:380" ht="15.6" customHeight="1">
      <c r="B629" s="1418" t="s">
        <v>497</v>
      </c>
      <c r="C629" s="1418"/>
      <c r="D629" s="1418"/>
      <c r="E629" s="1418"/>
      <c r="F629" s="1418"/>
      <c r="H629" s="2724">
        <f>'Part V-Revenues &amp; Expenses'!H191</f>
        <v>0</v>
      </c>
      <c r="I629" s="2724">
        <f>'Part V-Revenues &amp; Expenses'!I191</f>
        <v>0</v>
      </c>
      <c r="J629" s="2724">
        <f>'Part V-Revenues &amp; Expenses'!J191</f>
        <v>0</v>
      </c>
      <c r="K629" s="2724">
        <f>'Part V-Revenues &amp; Expenses'!K191</f>
        <v>0</v>
      </c>
      <c r="L629" s="2724">
        <f>'Part V-Revenues &amp; Expenses'!L191</f>
        <v>0</v>
      </c>
      <c r="M629" s="2724">
        <f>'Part V-Revenues &amp; Expenses'!M191</f>
        <v>0</v>
      </c>
      <c r="N629" s="2724">
        <f>'Part V-Revenues &amp; Expenses'!N191</f>
        <v>0</v>
      </c>
      <c r="O629" s="2724">
        <f>'Part V-Revenues &amp; Expenses'!O191</f>
        <v>0</v>
      </c>
      <c r="P629" s="2724">
        <f>'Part V-Revenues &amp; Expenses'!P191</f>
        <v>0</v>
      </c>
      <c r="Q629" s="2724">
        <f>'Part V-Revenues &amp; Expenses'!Q191</f>
        <v>0</v>
      </c>
      <c r="R629" s="2716"/>
      <c r="S629" s="2672"/>
      <c r="T629" s="2672"/>
      <c r="U629" s="2672"/>
      <c r="V629" s="2672"/>
      <c r="W629" s="2672"/>
      <c r="JW629" s="1657"/>
      <c r="KB629" s="1657"/>
      <c r="KG629" s="1657"/>
      <c r="KL629" s="1657"/>
      <c r="KM629" s="1657"/>
      <c r="KN629" s="1657"/>
      <c r="KO629" s="1657"/>
      <c r="KP629" s="1657"/>
      <c r="KQ629" s="1657"/>
      <c r="KR629" s="1657"/>
      <c r="KS629" s="1657"/>
      <c r="KT629" s="1657"/>
      <c r="KU629" s="1657"/>
      <c r="KV629" s="1657"/>
      <c r="KW629" s="1657"/>
      <c r="KX629" s="1657"/>
      <c r="KY629" s="1657"/>
      <c r="KZ629" s="1657"/>
      <c r="LA629" s="1657"/>
      <c r="LB629" s="1657"/>
      <c r="LC629" s="1657"/>
      <c r="LD629" s="1657"/>
      <c r="LE629" s="1657"/>
      <c r="LF629" s="1657"/>
      <c r="LG629" s="1657"/>
      <c r="LN629" s="360"/>
      <c r="MD629" s="360"/>
      <c r="ME629" s="360"/>
    </row>
    <row r="630" spans="2:380" ht="15.6" customHeight="1">
      <c r="B630" s="1418" t="s">
        <v>689</v>
      </c>
      <c r="C630" s="1418">
        <f>'Part V-Revenues &amp; Expenses'!C192</f>
        <v>0</v>
      </c>
      <c r="D630" s="1418"/>
      <c r="E630" s="1418"/>
      <c r="F630" s="1418"/>
      <c r="H630" s="2724">
        <f>'Part V-Revenues &amp; Expenses'!H192</f>
        <v>0</v>
      </c>
      <c r="I630" s="2724">
        <f>'Part V-Revenues &amp; Expenses'!I192</f>
        <v>0</v>
      </c>
      <c r="J630" s="2724">
        <f>'Part V-Revenues &amp; Expenses'!J192</f>
        <v>0</v>
      </c>
      <c r="K630" s="2724">
        <f>'Part V-Revenues &amp; Expenses'!K192</f>
        <v>0</v>
      </c>
      <c r="L630" s="2724">
        <f>'Part V-Revenues &amp; Expenses'!L192</f>
        <v>0</v>
      </c>
      <c r="M630" s="2724">
        <f>'Part V-Revenues &amp; Expenses'!M192</f>
        <v>0</v>
      </c>
      <c r="N630" s="2724">
        <f>'Part V-Revenues &amp; Expenses'!N192</f>
        <v>0</v>
      </c>
      <c r="O630" s="2724">
        <f>'Part V-Revenues &amp; Expenses'!O192</f>
        <v>0</v>
      </c>
      <c r="P630" s="2724">
        <f>'Part V-Revenues &amp; Expenses'!P192</f>
        <v>0</v>
      </c>
      <c r="Q630" s="2724">
        <f>'Part V-Revenues &amp; Expenses'!Q192</f>
        <v>0</v>
      </c>
      <c r="R630" s="2716"/>
      <c r="S630" s="2672"/>
      <c r="T630" s="2672"/>
      <c r="U630" s="2672"/>
      <c r="V630" s="2672"/>
      <c r="W630" s="2672"/>
      <c r="JW630" s="1657"/>
      <c r="KB630" s="1657"/>
      <c r="KG630" s="1657"/>
      <c r="KL630" s="1657"/>
      <c r="KM630" s="1657"/>
      <c r="KN630" s="1657"/>
      <c r="KO630" s="1657"/>
      <c r="KP630" s="1657"/>
      <c r="KQ630" s="1657"/>
      <c r="KR630" s="1657"/>
      <c r="KS630" s="1657"/>
      <c r="KT630" s="1657"/>
      <c r="KU630" s="1657"/>
      <c r="KV630" s="1657"/>
      <c r="KW630" s="1657"/>
      <c r="KX630" s="1657"/>
      <c r="KY630" s="1657"/>
      <c r="KZ630" s="1657"/>
      <c r="LA630" s="1657"/>
      <c r="LB630" s="1657"/>
      <c r="LC630" s="1657"/>
      <c r="LD630" s="1657"/>
      <c r="LE630" s="1657"/>
      <c r="LF630" s="1657"/>
      <c r="LG630" s="1657"/>
      <c r="LN630" s="360"/>
      <c r="MD630" s="360"/>
      <c r="ME630" s="360"/>
    </row>
    <row r="631" spans="2:380" ht="15.6" customHeight="1">
      <c r="B631" s="1418"/>
      <c r="C631" s="1418" t="s">
        <v>5095</v>
      </c>
      <c r="D631" s="1418"/>
      <c r="E631" s="1418"/>
      <c r="F631" s="1418"/>
      <c r="H631" s="2725">
        <f>SUM(H629:H630)</f>
        <v>0</v>
      </c>
      <c r="I631" s="2725">
        <f>SUM(I629:I630)</f>
        <v>0</v>
      </c>
      <c r="J631" s="2725">
        <f t="shared" ref="J631:Q631" si="370">SUM(J629:J630)</f>
        <v>0</v>
      </c>
      <c r="K631" s="2725">
        <f t="shared" si="370"/>
        <v>0</v>
      </c>
      <c r="L631" s="2725">
        <f t="shared" si="370"/>
        <v>0</v>
      </c>
      <c r="M631" s="2725">
        <f t="shared" si="370"/>
        <v>0</v>
      </c>
      <c r="N631" s="2725">
        <f t="shared" si="370"/>
        <v>0</v>
      </c>
      <c r="O631" s="2725">
        <f t="shared" si="370"/>
        <v>0</v>
      </c>
      <c r="P631" s="2725">
        <f t="shared" si="370"/>
        <v>0</v>
      </c>
      <c r="Q631" s="2725">
        <f t="shared" si="370"/>
        <v>0</v>
      </c>
      <c r="R631" s="362"/>
      <c r="S631" s="2672"/>
      <c r="T631" s="2672"/>
      <c r="U631" s="2672"/>
      <c r="V631" s="2672"/>
      <c r="W631" s="2672"/>
      <c r="JW631" s="1657"/>
      <c r="KB631" s="1657"/>
      <c r="KG631" s="1657"/>
      <c r="KL631" s="1657"/>
      <c r="KM631" s="1657"/>
      <c r="KN631" s="1657"/>
      <c r="KO631" s="1657"/>
      <c r="KP631" s="1657"/>
      <c r="KQ631" s="1657"/>
      <c r="KR631" s="1657"/>
      <c r="KS631" s="1657"/>
      <c r="KT631" s="1657"/>
      <c r="KU631" s="1657"/>
      <c r="KV631" s="1657"/>
      <c r="KW631" s="1657"/>
      <c r="KX631" s="1657"/>
      <c r="KY631" s="1657"/>
      <c r="KZ631" s="1657"/>
      <c r="LA631" s="1657"/>
      <c r="LB631" s="1657"/>
      <c r="LC631" s="1657"/>
      <c r="LD631" s="1657"/>
      <c r="LE631" s="1657"/>
      <c r="LF631" s="1657"/>
      <c r="LG631" s="1657"/>
      <c r="LN631" s="360"/>
      <c r="MD631" s="360"/>
      <c r="ME631" s="360"/>
    </row>
    <row r="632" spans="2:380" ht="15.6" customHeight="1">
      <c r="B632" s="2649"/>
      <c r="C632" s="359"/>
      <c r="D632" s="359"/>
      <c r="E632" s="359"/>
      <c r="F632" s="359"/>
      <c r="H632" s="2726"/>
      <c r="I632" s="359"/>
      <c r="J632" s="359"/>
      <c r="K632" s="359"/>
      <c r="L632" s="359"/>
      <c r="M632" s="359"/>
      <c r="N632" s="359"/>
      <c r="O632" s="359"/>
      <c r="P632" s="359"/>
      <c r="Q632" s="359"/>
      <c r="JW632" s="1657"/>
      <c r="KB632" s="1657"/>
      <c r="KG632" s="1657"/>
      <c r="KL632" s="1657"/>
      <c r="KM632" s="1657"/>
      <c r="KN632" s="1657"/>
      <c r="KO632" s="1657"/>
      <c r="KP632" s="1657"/>
      <c r="KQ632" s="1657"/>
      <c r="KR632" s="1657"/>
      <c r="KS632" s="1657"/>
      <c r="KT632" s="1657"/>
      <c r="KU632" s="1657"/>
      <c r="KV632" s="1657"/>
      <c r="KW632" s="1657"/>
      <c r="KX632" s="1657"/>
      <c r="KY632" s="1657"/>
      <c r="KZ632" s="1657"/>
      <c r="LA632" s="1657"/>
      <c r="LB632" s="1657"/>
      <c r="LC632" s="1657"/>
      <c r="LD632" s="1657"/>
      <c r="LE632" s="1657"/>
      <c r="LF632" s="1657"/>
      <c r="LG632" s="1657"/>
      <c r="LN632" s="360"/>
      <c r="MD632" s="360"/>
      <c r="ME632" s="360"/>
    </row>
    <row r="633" spans="2:380" ht="15.6" customHeight="1">
      <c r="B633" s="2721" t="s">
        <v>2106</v>
      </c>
      <c r="C633" s="359"/>
      <c r="D633" s="359"/>
      <c r="E633" s="359"/>
      <c r="F633" s="359"/>
      <c r="H633" s="2722">
        <v>11</v>
      </c>
      <c r="I633" s="2722">
        <v>12</v>
      </c>
      <c r="J633" s="2722">
        <v>13</v>
      </c>
      <c r="K633" s="2722">
        <v>14</v>
      </c>
      <c r="L633" s="2722">
        <v>15</v>
      </c>
      <c r="M633" s="2722">
        <v>16</v>
      </c>
      <c r="N633" s="2722">
        <v>17</v>
      </c>
      <c r="O633" s="2722">
        <v>18</v>
      </c>
      <c r="P633" s="2722">
        <v>19</v>
      </c>
      <c r="Q633" s="2722">
        <v>20</v>
      </c>
      <c r="S633" s="2674" t="s">
        <v>2402</v>
      </c>
      <c r="T633" s="358" t="str">
        <f>B633</f>
        <v>Included in Mgt Fee:</v>
      </c>
      <c r="JW633" s="1657"/>
      <c r="KB633" s="1657"/>
      <c r="KG633" s="1657"/>
      <c r="KL633" s="1657"/>
      <c r="KM633" s="1657"/>
      <c r="KN633" s="1657"/>
      <c r="KO633" s="1657"/>
      <c r="KP633" s="1657"/>
      <c r="KQ633" s="1657"/>
      <c r="KR633" s="1657"/>
      <c r="KS633" s="1657"/>
      <c r="KT633" s="1657"/>
      <c r="KU633" s="1657"/>
      <c r="KV633" s="1657"/>
      <c r="KW633" s="1657"/>
      <c r="KX633" s="1657"/>
      <c r="KY633" s="1657"/>
      <c r="KZ633" s="1657"/>
      <c r="LA633" s="1657"/>
      <c r="LB633" s="1657"/>
      <c r="LC633" s="1657"/>
      <c r="LD633" s="1657"/>
      <c r="LE633" s="1657"/>
      <c r="LF633" s="1657"/>
      <c r="LG633" s="1657"/>
      <c r="LN633" s="360"/>
      <c r="MD633" s="360"/>
      <c r="ME633" s="360"/>
    </row>
    <row r="634" spans="2:380" ht="15.6" customHeight="1">
      <c r="B634" s="1418" t="s">
        <v>952</v>
      </c>
      <c r="C634" s="1418"/>
      <c r="D634" s="1418"/>
      <c r="E634" s="1418"/>
      <c r="F634" s="1418"/>
      <c r="H634" s="2724">
        <f>'Part V-Revenues &amp; Expenses'!H196</f>
        <v>0</v>
      </c>
      <c r="I634" s="2724">
        <f>'Part V-Revenues &amp; Expenses'!I196</f>
        <v>0</v>
      </c>
      <c r="J634" s="2724">
        <f>'Part V-Revenues &amp; Expenses'!J196</f>
        <v>0</v>
      </c>
      <c r="K634" s="2724">
        <f>'Part V-Revenues &amp; Expenses'!K196</f>
        <v>0</v>
      </c>
      <c r="L634" s="2724">
        <f>'Part V-Revenues &amp; Expenses'!L196</f>
        <v>0</v>
      </c>
      <c r="M634" s="2724">
        <f>'Part V-Revenues &amp; Expenses'!M196</f>
        <v>0</v>
      </c>
      <c r="N634" s="2724">
        <f>'Part V-Revenues &amp; Expenses'!N196</f>
        <v>0</v>
      </c>
      <c r="O634" s="2724">
        <f>'Part V-Revenues &amp; Expenses'!O196</f>
        <v>0</v>
      </c>
      <c r="P634" s="2724">
        <f>'Part V-Revenues &amp; Expenses'!P196</f>
        <v>0</v>
      </c>
      <c r="Q634" s="2724">
        <f>'Part V-Revenues &amp; Expenses'!Q196</f>
        <v>0</v>
      </c>
      <c r="R634" s="2716"/>
      <c r="S634" s="2672"/>
      <c r="T634" s="2672"/>
      <c r="U634" s="2672"/>
      <c r="V634" s="2672"/>
      <c r="W634" s="2672"/>
    </row>
    <row r="635" spans="2:380" ht="15.6" customHeight="1">
      <c r="B635" s="1418" t="s">
        <v>689</v>
      </c>
      <c r="C635" s="1418">
        <f>'Part V-Revenues &amp; Expenses'!C197</f>
        <v>0</v>
      </c>
      <c r="D635" s="1418"/>
      <c r="E635" s="1418"/>
      <c r="F635" s="1418"/>
      <c r="H635" s="2724">
        <f>'Part V-Revenues &amp; Expenses'!H197</f>
        <v>0</v>
      </c>
      <c r="I635" s="2724">
        <f>'Part V-Revenues &amp; Expenses'!I197</f>
        <v>0</v>
      </c>
      <c r="J635" s="2724">
        <f>'Part V-Revenues &amp; Expenses'!J197</f>
        <v>0</v>
      </c>
      <c r="K635" s="2724">
        <f>'Part V-Revenues &amp; Expenses'!K197</f>
        <v>0</v>
      </c>
      <c r="L635" s="2724">
        <f>'Part V-Revenues &amp; Expenses'!L197</f>
        <v>0</v>
      </c>
      <c r="M635" s="2724">
        <f>'Part V-Revenues &amp; Expenses'!M197</f>
        <v>0</v>
      </c>
      <c r="N635" s="2724">
        <f>'Part V-Revenues &amp; Expenses'!N197</f>
        <v>0</v>
      </c>
      <c r="O635" s="2724">
        <f>'Part V-Revenues &amp; Expenses'!O197</f>
        <v>0</v>
      </c>
      <c r="P635" s="2724">
        <f>'Part V-Revenues &amp; Expenses'!P197</f>
        <v>0</v>
      </c>
      <c r="Q635" s="2724">
        <f>'Part V-Revenues &amp; Expenses'!Q197</f>
        <v>0</v>
      </c>
      <c r="R635" s="2716"/>
      <c r="S635" s="2672"/>
      <c r="T635" s="2672"/>
      <c r="U635" s="2672"/>
      <c r="V635" s="2672"/>
      <c r="W635" s="2672"/>
    </row>
    <row r="636" spans="2:380" ht="15.6" customHeight="1">
      <c r="B636" s="1418"/>
      <c r="C636" s="1418" t="s">
        <v>869</v>
      </c>
      <c r="D636" s="1418"/>
      <c r="E636" s="1418"/>
      <c r="F636" s="1418"/>
      <c r="H636" s="2725">
        <f>SUM(H634:H635)</f>
        <v>0</v>
      </c>
      <c r="I636" s="2725">
        <f>SUM(I634:I635)</f>
        <v>0</v>
      </c>
      <c r="J636" s="2725">
        <f t="shared" ref="J636:Q636" si="371">SUM(J634:J635)</f>
        <v>0</v>
      </c>
      <c r="K636" s="2725">
        <f t="shared" si="371"/>
        <v>0</v>
      </c>
      <c r="L636" s="2725">
        <f t="shared" si="371"/>
        <v>0</v>
      </c>
      <c r="M636" s="2725">
        <f t="shared" si="371"/>
        <v>0</v>
      </c>
      <c r="N636" s="2725">
        <f t="shared" si="371"/>
        <v>0</v>
      </c>
      <c r="O636" s="2725">
        <f t="shared" si="371"/>
        <v>0</v>
      </c>
      <c r="P636" s="2725">
        <f t="shared" si="371"/>
        <v>0</v>
      </c>
      <c r="Q636" s="2725">
        <f t="shared" si="371"/>
        <v>0</v>
      </c>
      <c r="R636" s="362"/>
      <c r="S636" s="2672"/>
      <c r="T636" s="2672"/>
      <c r="U636" s="2672"/>
      <c r="V636" s="2672"/>
      <c r="W636" s="2672"/>
    </row>
    <row r="637" spans="2:380" ht="15.6" customHeight="1">
      <c r="B637" s="2721" t="s">
        <v>5094</v>
      </c>
      <c r="C637" s="359"/>
      <c r="D637" s="359"/>
      <c r="E637" s="359"/>
      <c r="F637" s="359"/>
      <c r="H637" s="2726"/>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4">
        <f>'Part V-Revenues &amp; Expenses'!H200</f>
        <v>0</v>
      </c>
      <c r="I638" s="2724">
        <f>'Part V-Revenues &amp; Expenses'!I200</f>
        <v>0</v>
      </c>
      <c r="J638" s="2724">
        <f>'Part V-Revenues &amp; Expenses'!J200</f>
        <v>0</v>
      </c>
      <c r="K638" s="2724">
        <f>'Part V-Revenues &amp; Expenses'!K200</f>
        <v>0</v>
      </c>
      <c r="L638" s="2724">
        <f>'Part V-Revenues &amp; Expenses'!L200</f>
        <v>0</v>
      </c>
      <c r="M638" s="2724">
        <f>'Part V-Revenues &amp; Expenses'!M200</f>
        <v>0</v>
      </c>
      <c r="N638" s="2724">
        <f>'Part V-Revenues &amp; Expenses'!N200</f>
        <v>0</v>
      </c>
      <c r="O638" s="2724">
        <f>'Part V-Revenues &amp; Expenses'!O200</f>
        <v>0</v>
      </c>
      <c r="P638" s="2724">
        <f>'Part V-Revenues &amp; Expenses'!P200</f>
        <v>0</v>
      </c>
      <c r="Q638" s="2724">
        <f>'Part V-Revenues &amp; Expenses'!Q200</f>
        <v>0</v>
      </c>
      <c r="R638" s="2716"/>
      <c r="S638" s="2672"/>
      <c r="T638" s="2672"/>
      <c r="U638" s="2672"/>
      <c r="V638" s="2672"/>
      <c r="W638" s="2672"/>
    </row>
    <row r="639" spans="2:380" ht="15.6" customHeight="1">
      <c r="B639" s="1418" t="s">
        <v>689</v>
      </c>
      <c r="C639" s="1418">
        <f>'Part V-Revenues &amp; Expenses'!C201</f>
        <v>0</v>
      </c>
      <c r="D639" s="1418"/>
      <c r="E639" s="1418"/>
      <c r="F639" s="1418"/>
      <c r="H639" s="2724">
        <f>'Part V-Revenues &amp; Expenses'!H201</f>
        <v>0</v>
      </c>
      <c r="I639" s="2724">
        <f>'Part V-Revenues &amp; Expenses'!I201</f>
        <v>0</v>
      </c>
      <c r="J639" s="2724">
        <f>'Part V-Revenues &amp; Expenses'!J201</f>
        <v>0</v>
      </c>
      <c r="K639" s="2724">
        <f>'Part V-Revenues &amp; Expenses'!K201</f>
        <v>0</v>
      </c>
      <c r="L639" s="2724">
        <f>'Part V-Revenues &amp; Expenses'!L201</f>
        <v>0</v>
      </c>
      <c r="M639" s="2724">
        <f>'Part V-Revenues &amp; Expenses'!M201</f>
        <v>0</v>
      </c>
      <c r="N639" s="2724">
        <f>'Part V-Revenues &amp; Expenses'!N201</f>
        <v>0</v>
      </c>
      <c r="O639" s="2724">
        <f>'Part V-Revenues &amp; Expenses'!O201</f>
        <v>0</v>
      </c>
      <c r="P639" s="2724">
        <f>'Part V-Revenues &amp; Expenses'!P201</f>
        <v>0</v>
      </c>
      <c r="Q639" s="2724">
        <f>'Part V-Revenues &amp; Expenses'!Q201</f>
        <v>0</v>
      </c>
      <c r="R639" s="2716"/>
      <c r="S639" s="2672"/>
      <c r="T639" s="2672"/>
      <c r="U639" s="2672"/>
      <c r="V639" s="2672"/>
      <c r="W639" s="2672"/>
    </row>
    <row r="640" spans="2:380" ht="15.6" customHeight="1">
      <c r="B640" s="1418"/>
      <c r="C640" s="1418" t="s">
        <v>5095</v>
      </c>
      <c r="D640" s="1418"/>
      <c r="E640" s="1418"/>
      <c r="F640" s="1418"/>
      <c r="H640" s="2725">
        <f>SUM(H638:H639)</f>
        <v>0</v>
      </c>
      <c r="I640" s="2725">
        <f>SUM(I638:I639)</f>
        <v>0</v>
      </c>
      <c r="J640" s="2725">
        <f t="shared" ref="J640:Q640" si="372">SUM(J638:J639)</f>
        <v>0</v>
      </c>
      <c r="K640" s="2725">
        <f t="shared" si="372"/>
        <v>0</v>
      </c>
      <c r="L640" s="2725">
        <f t="shared" si="372"/>
        <v>0</v>
      </c>
      <c r="M640" s="2725">
        <f t="shared" si="372"/>
        <v>0</v>
      </c>
      <c r="N640" s="2725">
        <f t="shared" si="372"/>
        <v>0</v>
      </c>
      <c r="O640" s="2725">
        <f t="shared" si="372"/>
        <v>0</v>
      </c>
      <c r="P640" s="2725">
        <f t="shared" si="372"/>
        <v>0</v>
      </c>
      <c r="Q640" s="2725">
        <f t="shared" si="372"/>
        <v>0</v>
      </c>
      <c r="R640" s="362"/>
      <c r="S640" s="2672"/>
      <c r="T640" s="2672"/>
      <c r="U640" s="2672"/>
      <c r="V640" s="2672"/>
      <c r="W640" s="2672"/>
    </row>
    <row r="641" spans="2:343" ht="15.6" customHeight="1">
      <c r="B641" s="2649"/>
      <c r="C641" s="359"/>
      <c r="D641" s="359"/>
      <c r="E641" s="359"/>
      <c r="F641" s="359"/>
      <c r="H641" s="2726"/>
      <c r="I641" s="359"/>
      <c r="J641" s="359"/>
      <c r="K641" s="359"/>
      <c r="L641" s="359"/>
      <c r="M641" s="359"/>
      <c r="N641" s="359"/>
      <c r="O641" s="359"/>
      <c r="P641" s="359"/>
      <c r="Q641" s="359"/>
    </row>
    <row r="642" spans="2:343" ht="15.6" customHeight="1">
      <c r="B642" s="2721" t="s">
        <v>2106</v>
      </c>
      <c r="C642" s="359"/>
      <c r="D642" s="359"/>
      <c r="E642" s="359"/>
      <c r="F642" s="359"/>
      <c r="H642" s="2722">
        <v>21</v>
      </c>
      <c r="I642" s="2722">
        <v>22</v>
      </c>
      <c r="J642" s="2722">
        <v>23</v>
      </c>
      <c r="K642" s="2722">
        <v>24</v>
      </c>
      <c r="L642" s="2722">
        <v>25</v>
      </c>
      <c r="M642" s="2722">
        <v>26</v>
      </c>
      <c r="N642" s="2722">
        <v>27</v>
      </c>
      <c r="O642" s="2722">
        <v>28</v>
      </c>
      <c r="P642" s="2722">
        <v>29</v>
      </c>
      <c r="Q642" s="2722">
        <v>30</v>
      </c>
      <c r="R642" s="2723"/>
      <c r="S642" s="2674" t="s">
        <v>2403</v>
      </c>
      <c r="T642" s="358" t="str">
        <f>B642</f>
        <v>Included in Mgt Fee:</v>
      </c>
    </row>
    <row r="643" spans="2:343" ht="15.6" customHeight="1">
      <c r="B643" s="1418" t="s">
        <v>952</v>
      </c>
      <c r="C643" s="1418"/>
      <c r="D643" s="1418"/>
      <c r="E643" s="1418"/>
      <c r="F643" s="1418"/>
      <c r="H643" s="2724">
        <f>'Part V-Revenues &amp; Expenses'!H205</f>
        <v>0</v>
      </c>
      <c r="I643" s="2724">
        <f>'Part V-Revenues &amp; Expenses'!I205</f>
        <v>0</v>
      </c>
      <c r="J643" s="2724">
        <f>'Part V-Revenues &amp; Expenses'!J205</f>
        <v>0</v>
      </c>
      <c r="K643" s="2724">
        <f>'Part V-Revenues &amp; Expenses'!K205</f>
        <v>0</v>
      </c>
      <c r="L643" s="2724">
        <f>'Part V-Revenues &amp; Expenses'!L205</f>
        <v>0</v>
      </c>
      <c r="M643" s="2724">
        <f>'Part V-Revenues &amp; Expenses'!M205</f>
        <v>0</v>
      </c>
      <c r="N643" s="2724">
        <f>'Part V-Revenues &amp; Expenses'!N205</f>
        <v>0</v>
      </c>
      <c r="O643" s="2724">
        <f>'Part V-Revenues &amp; Expenses'!O205</f>
        <v>0</v>
      </c>
      <c r="P643" s="2724">
        <f>'Part V-Revenues &amp; Expenses'!P205</f>
        <v>0</v>
      </c>
      <c r="Q643" s="2724">
        <f>'Part V-Revenues &amp; Expenses'!Q205</f>
        <v>0</v>
      </c>
      <c r="R643" s="2716"/>
      <c r="S643" s="2672"/>
      <c r="T643" s="2672"/>
      <c r="U643" s="2672"/>
      <c r="V643" s="2672"/>
      <c r="W643" s="2672"/>
    </row>
    <row r="644" spans="2:343" ht="15.6" customHeight="1">
      <c r="B644" s="1418" t="s">
        <v>689</v>
      </c>
      <c r="C644" s="1418">
        <f>'Part V-Revenues &amp; Expenses'!C206</f>
        <v>0</v>
      </c>
      <c r="D644" s="1418"/>
      <c r="E644" s="1418"/>
      <c r="F644" s="1418"/>
      <c r="H644" s="2724">
        <f>'Part V-Revenues &amp; Expenses'!H206</f>
        <v>0</v>
      </c>
      <c r="I644" s="2724">
        <f>'Part V-Revenues &amp; Expenses'!I206</f>
        <v>0</v>
      </c>
      <c r="J644" s="2724">
        <f>'Part V-Revenues &amp; Expenses'!J206</f>
        <v>0</v>
      </c>
      <c r="K644" s="2724">
        <f>'Part V-Revenues &amp; Expenses'!K206</f>
        <v>0</v>
      </c>
      <c r="L644" s="2724">
        <f>'Part V-Revenues &amp; Expenses'!L206</f>
        <v>0</v>
      </c>
      <c r="M644" s="2724">
        <f>'Part V-Revenues &amp; Expenses'!M206</f>
        <v>0</v>
      </c>
      <c r="N644" s="2724">
        <f>'Part V-Revenues &amp; Expenses'!N206</f>
        <v>0</v>
      </c>
      <c r="O644" s="2724">
        <f>'Part V-Revenues &amp; Expenses'!O206</f>
        <v>0</v>
      </c>
      <c r="P644" s="2724">
        <f>'Part V-Revenues &amp; Expenses'!P206</f>
        <v>0</v>
      </c>
      <c r="Q644" s="2724">
        <f>'Part V-Revenues &amp; Expenses'!Q206</f>
        <v>0</v>
      </c>
      <c r="R644" s="2716"/>
      <c r="S644" s="2672"/>
      <c r="T644" s="2672"/>
      <c r="U644" s="2672"/>
      <c r="V644" s="2672"/>
      <c r="W644" s="2672"/>
    </row>
    <row r="645" spans="2:343" ht="15.6" customHeight="1">
      <c r="B645" s="1418"/>
      <c r="C645" s="1418" t="s">
        <v>869</v>
      </c>
      <c r="D645" s="1418"/>
      <c r="E645" s="1418"/>
      <c r="F645" s="1418"/>
      <c r="H645" s="2725">
        <f>SUM(H643:H644)</f>
        <v>0</v>
      </c>
      <c r="I645" s="2725">
        <f>SUM(I643:I644)</f>
        <v>0</v>
      </c>
      <c r="J645" s="2725">
        <f t="shared" ref="J645:Q645" si="373">SUM(J643:J644)</f>
        <v>0</v>
      </c>
      <c r="K645" s="2725">
        <f t="shared" si="373"/>
        <v>0</v>
      </c>
      <c r="L645" s="2725">
        <f t="shared" si="373"/>
        <v>0</v>
      </c>
      <c r="M645" s="2725">
        <f t="shared" si="373"/>
        <v>0</v>
      </c>
      <c r="N645" s="2725">
        <f t="shared" si="373"/>
        <v>0</v>
      </c>
      <c r="O645" s="2725">
        <f t="shared" si="373"/>
        <v>0</v>
      </c>
      <c r="P645" s="2725">
        <f t="shared" si="373"/>
        <v>0</v>
      </c>
      <c r="Q645" s="2725">
        <f t="shared" si="373"/>
        <v>0</v>
      </c>
      <c r="R645" s="362"/>
      <c r="S645" s="2672"/>
      <c r="T645" s="2672"/>
      <c r="U645" s="2672"/>
      <c r="V645" s="2672"/>
      <c r="W645" s="2672"/>
    </row>
    <row r="646" spans="2:343" ht="15.6" customHeight="1">
      <c r="B646" s="2721" t="s">
        <v>5094</v>
      </c>
      <c r="C646" s="359"/>
      <c r="D646" s="359"/>
      <c r="E646" s="359"/>
      <c r="F646" s="359"/>
      <c r="H646" s="2726"/>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4">
        <f>'Part V-Revenues &amp; Expenses'!H209</f>
        <v>0</v>
      </c>
      <c r="I647" s="2724">
        <f>'Part V-Revenues &amp; Expenses'!I209</f>
        <v>0</v>
      </c>
      <c r="J647" s="2724">
        <f>'Part V-Revenues &amp; Expenses'!J209</f>
        <v>0</v>
      </c>
      <c r="K647" s="2724">
        <f>'Part V-Revenues &amp; Expenses'!K209</f>
        <v>0</v>
      </c>
      <c r="L647" s="2724">
        <f>'Part V-Revenues &amp; Expenses'!L209</f>
        <v>0</v>
      </c>
      <c r="M647" s="2724">
        <f>'Part V-Revenues &amp; Expenses'!M209</f>
        <v>0</v>
      </c>
      <c r="N647" s="2724">
        <f>'Part V-Revenues &amp; Expenses'!N209</f>
        <v>0</v>
      </c>
      <c r="O647" s="2724">
        <f>'Part V-Revenues &amp; Expenses'!O209</f>
        <v>0</v>
      </c>
      <c r="P647" s="2724">
        <f>'Part V-Revenues &amp; Expenses'!P209</f>
        <v>0</v>
      </c>
      <c r="Q647" s="2724">
        <f>'Part V-Revenues &amp; Expenses'!Q209</f>
        <v>0</v>
      </c>
      <c r="R647" s="2716"/>
      <c r="S647" s="2672"/>
      <c r="T647" s="2672"/>
      <c r="U647" s="2672"/>
      <c r="V647" s="2672"/>
      <c r="W647" s="2672"/>
    </row>
    <row r="648" spans="2:343" ht="15.6" customHeight="1">
      <c r="B648" s="1418" t="s">
        <v>689</v>
      </c>
      <c r="C648" s="1418">
        <f>'Part V-Revenues &amp; Expenses'!C210</f>
        <v>0</v>
      </c>
      <c r="D648" s="1418"/>
      <c r="E648" s="1418"/>
      <c r="F648" s="1418"/>
      <c r="H648" s="2724">
        <f>'Part V-Revenues &amp; Expenses'!H210</f>
        <v>0</v>
      </c>
      <c r="I648" s="2724">
        <f>'Part V-Revenues &amp; Expenses'!I210</f>
        <v>0</v>
      </c>
      <c r="J648" s="2724">
        <f>'Part V-Revenues &amp; Expenses'!J210</f>
        <v>0</v>
      </c>
      <c r="K648" s="2724">
        <f>'Part V-Revenues &amp; Expenses'!K210</f>
        <v>0</v>
      </c>
      <c r="L648" s="2724">
        <f>'Part V-Revenues &amp; Expenses'!L210</f>
        <v>0</v>
      </c>
      <c r="M648" s="2724">
        <f>'Part V-Revenues &amp; Expenses'!M210</f>
        <v>0</v>
      </c>
      <c r="N648" s="2724">
        <f>'Part V-Revenues &amp; Expenses'!N210</f>
        <v>0</v>
      </c>
      <c r="O648" s="2724">
        <f>'Part V-Revenues &amp; Expenses'!O210</f>
        <v>0</v>
      </c>
      <c r="P648" s="2724">
        <f>'Part V-Revenues &amp; Expenses'!P210</f>
        <v>0</v>
      </c>
      <c r="Q648" s="2724">
        <f>'Part V-Revenues &amp; Expenses'!Q210</f>
        <v>0</v>
      </c>
      <c r="R648" s="2716"/>
      <c r="S648" s="2672"/>
      <c r="T648" s="2672"/>
      <c r="U648" s="2672"/>
      <c r="V648" s="2672"/>
      <c r="W648" s="2672"/>
    </row>
    <row r="649" spans="2:343" ht="15.6" customHeight="1">
      <c r="B649" s="1418"/>
      <c r="C649" s="1418" t="s">
        <v>5095</v>
      </c>
      <c r="D649" s="1418"/>
      <c r="E649" s="1418"/>
      <c r="F649" s="1418"/>
      <c r="H649" s="2725">
        <f>SUM(H647:H648)</f>
        <v>0</v>
      </c>
      <c r="I649" s="2725">
        <f>SUM(I647:I648)</f>
        <v>0</v>
      </c>
      <c r="J649" s="2725">
        <f t="shared" ref="J649:Q649" si="374">SUM(J647:J648)</f>
        <v>0</v>
      </c>
      <c r="K649" s="2725">
        <f t="shared" si="374"/>
        <v>0</v>
      </c>
      <c r="L649" s="2725">
        <f t="shared" si="374"/>
        <v>0</v>
      </c>
      <c r="M649" s="2725">
        <f t="shared" si="374"/>
        <v>0</v>
      </c>
      <c r="N649" s="2725">
        <f t="shared" si="374"/>
        <v>0</v>
      </c>
      <c r="O649" s="2725">
        <f t="shared" si="374"/>
        <v>0</v>
      </c>
      <c r="P649" s="2725">
        <f t="shared" si="374"/>
        <v>0</v>
      </c>
      <c r="Q649" s="2725">
        <f t="shared" si="374"/>
        <v>0</v>
      </c>
      <c r="R649" s="362"/>
      <c r="S649" s="2672"/>
      <c r="T649" s="2672"/>
      <c r="U649" s="2672"/>
      <c r="V649" s="2672"/>
      <c r="W649" s="2672"/>
    </row>
    <row r="650" spans="2:343" ht="15.6" customHeight="1">
      <c r="B650" s="2649"/>
      <c r="C650" s="359"/>
      <c r="D650" s="359"/>
      <c r="E650" s="359"/>
      <c r="F650" s="359"/>
      <c r="H650" s="2726"/>
      <c r="I650" s="359"/>
      <c r="J650" s="359"/>
      <c r="K650" s="359"/>
      <c r="L650" s="359"/>
      <c r="M650" s="359"/>
      <c r="N650" s="359"/>
      <c r="O650" s="359"/>
      <c r="P650" s="359"/>
      <c r="Q650" s="359"/>
      <c r="JW650" s="1657"/>
      <c r="KB650" s="1657"/>
      <c r="KG650" s="1657"/>
      <c r="KL650" s="1657"/>
      <c r="KM650" s="1657"/>
      <c r="KN650" s="1657"/>
      <c r="KO650" s="1657"/>
      <c r="KP650" s="1657"/>
      <c r="KQ650" s="1657"/>
      <c r="KR650" s="1657"/>
      <c r="KS650" s="1657"/>
      <c r="KT650" s="1657"/>
      <c r="KU650" s="1657"/>
      <c r="KV650" s="1657"/>
      <c r="KW650" s="1657"/>
      <c r="KX650" s="1657"/>
      <c r="KY650" s="1657"/>
      <c r="KZ650" s="1657"/>
      <c r="LA650" s="1657"/>
      <c r="LB650" s="1657"/>
      <c r="LC650" s="1657"/>
      <c r="LD650" s="1657"/>
      <c r="LE650" s="1657"/>
      <c r="LF650" s="1657"/>
      <c r="LG650" s="1657"/>
      <c r="LN650" s="360"/>
      <c r="MD650" s="360"/>
      <c r="ME650" s="360"/>
    </row>
    <row r="651" spans="2:343" ht="15.6" customHeight="1">
      <c r="B651" s="2721" t="s">
        <v>2106</v>
      </c>
      <c r="C651" s="359"/>
      <c r="D651" s="359"/>
      <c r="E651" s="359"/>
      <c r="F651" s="359"/>
      <c r="H651" s="2722">
        <v>31</v>
      </c>
      <c r="I651" s="2722">
        <v>32</v>
      </c>
      <c r="J651" s="2722">
        <v>33</v>
      </c>
      <c r="K651" s="2722">
        <v>34</v>
      </c>
      <c r="L651" s="2722">
        <v>35</v>
      </c>
      <c r="M651" s="359"/>
      <c r="N651" s="359"/>
      <c r="O651" s="359"/>
      <c r="P651" s="359"/>
      <c r="Q651" s="359"/>
      <c r="S651" s="2674" t="s">
        <v>2403</v>
      </c>
      <c r="T651" s="358" t="str">
        <f>B651</f>
        <v>Included in Mgt Fee:</v>
      </c>
      <c r="JW651" s="1657"/>
      <c r="KB651" s="1657"/>
      <c r="KG651" s="1657"/>
      <c r="KL651" s="1657"/>
      <c r="KM651" s="1657"/>
      <c r="KN651" s="1657"/>
      <c r="KO651" s="1657"/>
      <c r="KP651" s="1657"/>
      <c r="KQ651" s="1657"/>
      <c r="KR651" s="1657"/>
      <c r="KS651" s="1657"/>
      <c r="KT651" s="1657"/>
      <c r="KU651" s="1657"/>
      <c r="KV651" s="1657"/>
      <c r="KW651" s="1657"/>
      <c r="KX651" s="1657"/>
      <c r="KY651" s="1657"/>
      <c r="KZ651" s="1657"/>
      <c r="LA651" s="1657"/>
      <c r="LB651" s="1657"/>
      <c r="LC651" s="1657"/>
      <c r="LD651" s="1657"/>
      <c r="LE651" s="1657"/>
      <c r="LF651" s="1657"/>
      <c r="LG651" s="1657"/>
      <c r="LN651" s="360"/>
      <c r="MD651" s="360"/>
      <c r="ME651" s="360"/>
    </row>
    <row r="652" spans="2:343" ht="15.6" customHeight="1">
      <c r="B652" s="1418" t="s">
        <v>952</v>
      </c>
      <c r="C652" s="1418"/>
      <c r="D652" s="1418"/>
      <c r="E652" s="1418"/>
      <c r="F652" s="1418"/>
      <c r="H652" s="2724">
        <f>'Part V-Revenues &amp; Expenses'!H214</f>
        <v>0</v>
      </c>
      <c r="I652" s="2724">
        <f>'Part V-Revenues &amp; Expenses'!I214</f>
        <v>0</v>
      </c>
      <c r="J652" s="2724">
        <f>'Part V-Revenues &amp; Expenses'!J214</f>
        <v>0</v>
      </c>
      <c r="K652" s="2724">
        <f>'Part V-Revenues &amp; Expenses'!K214</f>
        <v>0</v>
      </c>
      <c r="L652" s="2724">
        <f>'Part V-Revenues &amp; Expenses'!L214</f>
        <v>0</v>
      </c>
      <c r="M652" s="359"/>
      <c r="N652" s="359"/>
      <c r="O652" s="359"/>
      <c r="P652" s="359"/>
      <c r="Q652" s="359"/>
      <c r="S652" s="2672"/>
      <c r="T652" s="2672"/>
      <c r="U652" s="2672"/>
      <c r="V652" s="2672"/>
      <c r="W652" s="2672"/>
      <c r="JW652" s="1657"/>
      <c r="KB652" s="1657"/>
      <c r="KG652" s="1657"/>
      <c r="KL652" s="1657"/>
      <c r="KM652" s="1657"/>
      <c r="KN652" s="1657"/>
      <c r="KO652" s="1657"/>
      <c r="KP652" s="1657"/>
      <c r="KQ652" s="1657"/>
      <c r="KR652" s="1657"/>
      <c r="KS652" s="1657"/>
      <c r="KT652" s="1657"/>
      <c r="KU652" s="1657"/>
      <c r="KV652" s="1657"/>
      <c r="KW652" s="1657"/>
      <c r="KX652" s="1657"/>
      <c r="KY652" s="1657"/>
      <c r="KZ652" s="1657"/>
      <c r="LA652" s="1657"/>
      <c r="LB652" s="1657"/>
      <c r="LC652" s="1657"/>
      <c r="LD652" s="1657"/>
      <c r="LE652" s="1657"/>
      <c r="LF652" s="1657"/>
      <c r="LG652" s="1657"/>
      <c r="LN652" s="360"/>
      <c r="MD652" s="360"/>
      <c r="ME652" s="360"/>
    </row>
    <row r="653" spans="2:343" ht="15.6" customHeight="1">
      <c r="B653" s="1418" t="s">
        <v>689</v>
      </c>
      <c r="C653" s="1418">
        <f>'Part V-Revenues &amp; Expenses'!C215</f>
        <v>0</v>
      </c>
      <c r="D653" s="1418"/>
      <c r="E653" s="1418"/>
      <c r="F653" s="1418"/>
      <c r="H653" s="2724">
        <f>'Part V-Revenues &amp; Expenses'!H215</f>
        <v>0</v>
      </c>
      <c r="I653" s="2724">
        <f>'Part V-Revenues &amp; Expenses'!I215</f>
        <v>0</v>
      </c>
      <c r="J653" s="2724">
        <f>'Part V-Revenues &amp; Expenses'!J215</f>
        <v>0</v>
      </c>
      <c r="K653" s="2724">
        <f>'Part V-Revenues &amp; Expenses'!K215</f>
        <v>0</v>
      </c>
      <c r="L653" s="2724">
        <f>'Part V-Revenues &amp; Expenses'!L215</f>
        <v>0</v>
      </c>
      <c r="M653" s="359"/>
      <c r="N653" s="359"/>
      <c r="O653" s="359"/>
      <c r="P653" s="359"/>
      <c r="Q653" s="359"/>
      <c r="S653" s="2672"/>
      <c r="T653" s="2672"/>
      <c r="U653" s="2672"/>
      <c r="V653" s="2672"/>
      <c r="W653" s="2672"/>
      <c r="JW653" s="1657"/>
      <c r="KB653" s="1657"/>
      <c r="KG653" s="1657"/>
      <c r="KL653" s="1657"/>
      <c r="KM653" s="1657"/>
      <c r="KN653" s="1657"/>
      <c r="KO653" s="1657"/>
      <c r="KP653" s="1657"/>
      <c r="KQ653" s="1657"/>
      <c r="KR653" s="1657"/>
      <c r="KS653" s="1657"/>
      <c r="KT653" s="1657"/>
      <c r="KU653" s="1657"/>
      <c r="KV653" s="1657"/>
      <c r="KW653" s="1657"/>
      <c r="KX653" s="1657"/>
      <c r="KY653" s="1657"/>
      <c r="KZ653" s="1657"/>
      <c r="LA653" s="1657"/>
      <c r="LB653" s="1657"/>
      <c r="LC653" s="1657"/>
      <c r="LD653" s="1657"/>
      <c r="LE653" s="1657"/>
      <c r="LF653" s="1657"/>
      <c r="LG653" s="1657"/>
      <c r="LN653" s="360"/>
      <c r="MD653" s="360"/>
      <c r="ME653" s="360"/>
    </row>
    <row r="654" spans="2:343" ht="15.6" customHeight="1">
      <c r="B654" s="1418"/>
      <c r="C654" s="1418" t="s">
        <v>869</v>
      </c>
      <c r="D654" s="1418"/>
      <c r="E654" s="1418"/>
      <c r="F654" s="1418"/>
      <c r="H654" s="2725">
        <f>SUM(H652:H653)</f>
        <v>0</v>
      </c>
      <c r="I654" s="2725">
        <f>SUM(I652:I653)</f>
        <v>0</v>
      </c>
      <c r="J654" s="2725">
        <f>SUM(J652:J653)</f>
        <v>0</v>
      </c>
      <c r="K654" s="2725">
        <f>SUM(K652:K653)</f>
        <v>0</v>
      </c>
      <c r="L654" s="2725">
        <f>SUM(L652:L653)</f>
        <v>0</v>
      </c>
      <c r="M654" s="359"/>
      <c r="N654" s="359"/>
      <c r="O654" s="359"/>
      <c r="P654" s="359"/>
      <c r="Q654" s="359"/>
      <c r="S654" s="2672"/>
      <c r="T654" s="2672"/>
      <c r="U654" s="2672"/>
      <c r="V654" s="2672"/>
      <c r="W654" s="2672"/>
      <c r="JW654" s="1657"/>
      <c r="KB654" s="1657"/>
      <c r="KG654" s="1657"/>
      <c r="KL654" s="1657"/>
      <c r="KM654" s="1657"/>
      <c r="KN654" s="1657"/>
      <c r="KO654" s="1657"/>
      <c r="KP654" s="1657"/>
      <c r="KQ654" s="1657"/>
      <c r="KR654" s="1657"/>
      <c r="KS654" s="1657"/>
      <c r="KT654" s="1657"/>
      <c r="KU654" s="1657"/>
      <c r="KV654" s="1657"/>
      <c r="KW654" s="1657"/>
      <c r="KX654" s="1657"/>
      <c r="KY654" s="1657"/>
      <c r="KZ654" s="1657"/>
      <c r="LA654" s="1657"/>
      <c r="LB654" s="1657"/>
      <c r="LC654" s="1657"/>
      <c r="LD654" s="1657"/>
      <c r="LE654" s="1657"/>
      <c r="LF654" s="1657"/>
      <c r="LG654" s="1657"/>
      <c r="LN654" s="360"/>
      <c r="MD654" s="360"/>
      <c r="ME654" s="360"/>
    </row>
    <row r="655" spans="2:343" ht="15.6" customHeight="1">
      <c r="B655" s="2721" t="s">
        <v>5094</v>
      </c>
      <c r="C655" s="359"/>
      <c r="D655" s="359"/>
      <c r="E655" s="359"/>
      <c r="F655" s="359"/>
      <c r="H655" s="2726"/>
      <c r="I655" s="359"/>
      <c r="J655" s="359"/>
      <c r="K655" s="359"/>
      <c r="L655" s="359"/>
      <c r="M655" s="359"/>
      <c r="N655" s="359"/>
      <c r="O655" s="359"/>
      <c r="P655" s="359"/>
      <c r="Q655" s="359"/>
      <c r="S655" s="358" t="str">
        <f>B655</f>
        <v>NOT Included in Mgt Fee:</v>
      </c>
      <c r="JW655" s="1657"/>
      <c r="KB655" s="1657"/>
      <c r="KG655" s="1657"/>
      <c r="KL655" s="1657"/>
      <c r="KM655" s="1657"/>
      <c r="KN655" s="1657"/>
      <c r="KO655" s="1657"/>
      <c r="KP655" s="1657"/>
      <c r="KQ655" s="1657"/>
      <c r="KR655" s="1657"/>
      <c r="KS655" s="1657"/>
      <c r="KT655" s="1657"/>
      <c r="KU655" s="1657"/>
      <c r="KV655" s="1657"/>
      <c r="KW655" s="1657"/>
      <c r="KX655" s="1657"/>
      <c r="KY655" s="1657"/>
      <c r="KZ655" s="1657"/>
      <c r="LA655" s="1657"/>
      <c r="LB655" s="1657"/>
      <c r="LC655" s="1657"/>
      <c r="LD655" s="1657"/>
      <c r="LE655" s="1657"/>
      <c r="LF655" s="1657"/>
      <c r="LG655" s="1657"/>
      <c r="LN655" s="360"/>
      <c r="MD655" s="360"/>
      <c r="ME655" s="360"/>
    </row>
    <row r="656" spans="2:343" ht="15.6" customHeight="1">
      <c r="B656" s="1418" t="s">
        <v>497</v>
      </c>
      <c r="C656" s="1418"/>
      <c r="D656" s="1418"/>
      <c r="E656" s="1418"/>
      <c r="F656" s="1418"/>
      <c r="H656" s="2724">
        <f>'Part V-Revenues &amp; Expenses'!H218</f>
        <v>0</v>
      </c>
      <c r="I656" s="2724">
        <f>'Part V-Revenues &amp; Expenses'!I218</f>
        <v>0</v>
      </c>
      <c r="J656" s="2724">
        <f>'Part V-Revenues &amp; Expenses'!J218</f>
        <v>0</v>
      </c>
      <c r="K656" s="2724">
        <f>'Part V-Revenues &amp; Expenses'!K218</f>
        <v>0</v>
      </c>
      <c r="L656" s="2724">
        <f>'Part V-Revenues &amp; Expenses'!L218</f>
        <v>0</v>
      </c>
      <c r="M656" s="359"/>
      <c r="N656" s="359"/>
      <c r="O656" s="359"/>
      <c r="P656" s="359"/>
      <c r="Q656" s="359"/>
      <c r="S656" s="2672"/>
      <c r="T656" s="2672"/>
      <c r="U656" s="2672"/>
      <c r="V656" s="2672"/>
      <c r="W656" s="2672"/>
      <c r="JW656" s="1657"/>
      <c r="KB656" s="1657"/>
      <c r="KG656" s="1657"/>
      <c r="KL656" s="1657"/>
      <c r="KM656" s="1657"/>
      <c r="KN656" s="1657"/>
      <c r="KO656" s="1657"/>
      <c r="KP656" s="1657"/>
      <c r="KQ656" s="1657"/>
      <c r="KR656" s="1657"/>
      <c r="KS656" s="1657"/>
      <c r="KT656" s="1657"/>
      <c r="KU656" s="1657"/>
      <c r="KV656" s="1657"/>
      <c r="KW656" s="1657"/>
      <c r="KX656" s="1657"/>
      <c r="KY656" s="1657"/>
      <c r="KZ656" s="1657"/>
      <c r="LA656" s="1657"/>
      <c r="LB656" s="1657"/>
      <c r="LC656" s="1657"/>
      <c r="LD656" s="1657"/>
      <c r="LE656" s="1657"/>
      <c r="LF656" s="1657"/>
      <c r="LG656" s="1657"/>
      <c r="LN656" s="360"/>
      <c r="MD656" s="360"/>
      <c r="ME656" s="360"/>
    </row>
    <row r="657" spans="1:380" ht="15.6" customHeight="1">
      <c r="B657" s="1418" t="s">
        <v>689</v>
      </c>
      <c r="C657" s="1418">
        <f>'Part V-Revenues &amp; Expenses'!C219</f>
        <v>0</v>
      </c>
      <c r="D657" s="1418"/>
      <c r="E657" s="1418"/>
      <c r="F657" s="1418"/>
      <c r="H657" s="2724">
        <f>'Part V-Revenues &amp; Expenses'!H219</f>
        <v>0</v>
      </c>
      <c r="I657" s="2724">
        <f>'Part V-Revenues &amp; Expenses'!I219</f>
        <v>0</v>
      </c>
      <c r="J657" s="2724">
        <f>'Part V-Revenues &amp; Expenses'!J219</f>
        <v>0</v>
      </c>
      <c r="K657" s="2724">
        <f>'Part V-Revenues &amp; Expenses'!K219</f>
        <v>0</v>
      </c>
      <c r="L657" s="2724">
        <f>'Part V-Revenues &amp; Expenses'!L219</f>
        <v>0</v>
      </c>
      <c r="M657" s="359"/>
      <c r="N657" s="359"/>
      <c r="O657" s="359"/>
      <c r="P657" s="359"/>
      <c r="Q657" s="359"/>
      <c r="S657" s="2672"/>
      <c r="T657" s="2672"/>
      <c r="U657" s="2672"/>
      <c r="V657" s="2672"/>
      <c r="W657" s="2672"/>
      <c r="JW657" s="1657"/>
      <c r="KB657" s="1657"/>
      <c r="KG657" s="1657"/>
      <c r="KL657" s="1657"/>
      <c r="KM657" s="1657"/>
      <c r="KN657" s="1657"/>
      <c r="KO657" s="1657"/>
      <c r="KP657" s="1657"/>
      <c r="KQ657" s="1657"/>
      <c r="KR657" s="1657"/>
      <c r="KS657" s="1657"/>
      <c r="KT657" s="1657"/>
      <c r="KU657" s="1657"/>
      <c r="KV657" s="1657"/>
      <c r="KW657" s="1657"/>
      <c r="KX657" s="1657"/>
      <c r="KY657" s="1657"/>
      <c r="KZ657" s="1657"/>
      <c r="LA657" s="1657"/>
      <c r="LB657" s="1657"/>
      <c r="LC657" s="1657"/>
      <c r="LD657" s="1657"/>
      <c r="LE657" s="1657"/>
      <c r="LF657" s="1657"/>
      <c r="LG657" s="1657"/>
      <c r="LN657" s="360"/>
      <c r="MD657" s="360"/>
      <c r="ME657" s="360"/>
    </row>
    <row r="658" spans="1:380" ht="15.6" customHeight="1">
      <c r="B658" s="1418"/>
      <c r="C658" s="1418" t="s">
        <v>5095</v>
      </c>
      <c r="D658" s="1418"/>
      <c r="E658" s="1418"/>
      <c r="F658" s="1418"/>
      <c r="H658" s="2725">
        <f>SUM(H656:H657)</f>
        <v>0</v>
      </c>
      <c r="I658" s="2725">
        <f>SUM(I656:I657)</f>
        <v>0</v>
      </c>
      <c r="J658" s="2725">
        <f>SUM(J656:J657)</f>
        <v>0</v>
      </c>
      <c r="K658" s="2725">
        <f>SUM(K656:K657)</f>
        <v>0</v>
      </c>
      <c r="L658" s="2725">
        <f>SUM(L656:L657)</f>
        <v>0</v>
      </c>
      <c r="M658" s="359"/>
      <c r="N658" s="359"/>
      <c r="O658" s="359"/>
      <c r="P658" s="359"/>
      <c r="Q658" s="359"/>
      <c r="S658" s="2672"/>
      <c r="T658" s="2672"/>
      <c r="U658" s="2672"/>
      <c r="V658" s="2672"/>
      <c r="W658" s="2672"/>
      <c r="JW658" s="1657"/>
      <c r="KB658" s="1657"/>
      <c r="KG658" s="1657"/>
      <c r="KL658" s="1657"/>
      <c r="KM658" s="1657"/>
      <c r="KN658" s="1657"/>
      <c r="KO658" s="1657"/>
      <c r="KP658" s="1657"/>
      <c r="KQ658" s="1657"/>
      <c r="KR658" s="1657"/>
      <c r="KS658" s="1657"/>
      <c r="KT658" s="1657"/>
      <c r="KU658" s="1657"/>
      <c r="KV658" s="1657"/>
      <c r="KW658" s="1657"/>
      <c r="KX658" s="1657"/>
      <c r="KY658" s="1657"/>
      <c r="KZ658" s="1657"/>
      <c r="LA658" s="1657"/>
      <c r="LB658" s="1657"/>
      <c r="LC658" s="1657"/>
      <c r="LD658" s="1657"/>
      <c r="LE658" s="1657"/>
      <c r="LF658" s="1657"/>
      <c r="LG658" s="1657"/>
      <c r="LN658" s="360"/>
      <c r="MD658" s="360"/>
      <c r="ME658" s="360"/>
    </row>
    <row r="659" spans="1:380" ht="2.25" customHeight="1">
      <c r="B659" s="360"/>
      <c r="F659" s="2727"/>
      <c r="G659" s="2727"/>
      <c r="JW659" s="1657"/>
      <c r="KB659" s="1657"/>
      <c r="KG659" s="1657"/>
      <c r="KL659" s="1657"/>
      <c r="KM659" s="1657"/>
      <c r="KN659" s="1657"/>
      <c r="KO659" s="1657"/>
      <c r="KP659" s="1657"/>
      <c r="KQ659" s="1657"/>
      <c r="KR659" s="1657"/>
      <c r="KS659" s="1657"/>
      <c r="KT659" s="1657"/>
      <c r="KU659" s="1657"/>
      <c r="KV659" s="1657"/>
      <c r="KW659" s="1657"/>
      <c r="KX659" s="1657"/>
      <c r="KY659" s="1657"/>
      <c r="KZ659" s="1657"/>
      <c r="LA659" s="1657"/>
      <c r="LB659" s="1657"/>
      <c r="LC659" s="1657"/>
      <c r="LD659" s="1657"/>
      <c r="LE659" s="1657"/>
      <c r="LF659" s="1657"/>
      <c r="LG659" s="1657"/>
      <c r="LN659" s="360"/>
      <c r="MD659" s="360"/>
      <c r="ME659" s="360"/>
    </row>
    <row r="660" spans="1:380" s="358" customFormat="1" ht="11.25" customHeight="1">
      <c r="A660" s="1656" t="s">
        <v>1663</v>
      </c>
      <c r="B660" s="2728" t="s">
        <v>954</v>
      </c>
      <c r="C660" s="2728"/>
      <c r="D660" s="2728"/>
      <c r="E660" s="2728"/>
      <c r="F660" s="2728"/>
      <c r="G660" s="2728"/>
      <c r="H660" s="2728"/>
      <c r="I660" s="2728"/>
      <c r="J660" s="2728"/>
      <c r="K660" s="2728"/>
      <c r="L660" s="2728"/>
      <c r="N660" s="2729"/>
      <c r="O660" s="1803"/>
      <c r="P660" s="1803"/>
      <c r="S660" s="1656" t="str">
        <f>B660</f>
        <v>ANNUAL OPERATING EXPENSE BUDGET</v>
      </c>
      <c r="T660" s="356"/>
      <c r="X660" s="356"/>
      <c r="AC660" s="356"/>
      <c r="AH660" s="356"/>
      <c r="AM660" s="356"/>
      <c r="JW660" s="1803"/>
      <c r="KB660" s="1803"/>
      <c r="KG660" s="1803"/>
      <c r="KL660" s="1803"/>
      <c r="KM660" s="1803"/>
      <c r="KN660" s="1803"/>
      <c r="KO660" s="1803"/>
      <c r="KP660" s="1803"/>
      <c r="KQ660" s="1803"/>
      <c r="KR660" s="1803"/>
      <c r="KS660" s="1803"/>
      <c r="KT660" s="1803"/>
      <c r="KU660" s="1803"/>
      <c r="KV660" s="1803"/>
      <c r="KW660" s="1803"/>
      <c r="KX660" s="1803"/>
      <c r="KY660" s="1803"/>
      <c r="KZ660" s="1803"/>
      <c r="LA660" s="1803"/>
      <c r="LB660" s="1803"/>
      <c r="LC660" s="1803"/>
      <c r="LD660" s="1803"/>
      <c r="LE660" s="1803"/>
      <c r="LF660" s="1803"/>
      <c r="LG660" s="1803"/>
      <c r="LN660" s="1656"/>
      <c r="MD660" s="1656"/>
      <c r="ME660" s="1656"/>
      <c r="NP660" s="356"/>
    </row>
    <row r="661" spans="1:380" s="358" customFormat="1" ht="11.25" customHeight="1">
      <c r="B661" s="2728"/>
      <c r="C661" s="2728"/>
      <c r="D661" s="2728"/>
      <c r="E661" s="2728"/>
      <c r="F661" s="2728"/>
      <c r="G661" s="2728"/>
      <c r="H661" s="2728"/>
      <c r="I661" s="2728"/>
      <c r="J661" s="2728"/>
      <c r="K661" s="2728"/>
      <c r="S661" s="1788" t="s">
        <v>1706</v>
      </c>
      <c r="T661" s="1788"/>
      <c r="JW661" s="1803"/>
      <c r="KB661" s="1803"/>
      <c r="KG661" s="1803"/>
      <c r="KL661" s="1803"/>
      <c r="KM661" s="1803"/>
      <c r="KN661" s="1803"/>
      <c r="KO661" s="1803"/>
      <c r="KP661" s="1803"/>
      <c r="KQ661" s="1803"/>
      <c r="KR661" s="1803"/>
      <c r="KS661" s="1803"/>
      <c r="KT661" s="1803"/>
      <c r="KU661" s="1803"/>
      <c r="KV661" s="1803"/>
      <c r="KW661" s="1803"/>
      <c r="KX661" s="1803"/>
      <c r="KY661" s="1803"/>
      <c r="KZ661" s="1803"/>
      <c r="LA661" s="1803"/>
      <c r="LB661" s="1803"/>
      <c r="LC661" s="1803"/>
      <c r="LD661" s="1803"/>
      <c r="LE661" s="1803"/>
      <c r="LF661" s="1803"/>
      <c r="LG661" s="1803"/>
      <c r="LN661" s="1656"/>
      <c r="MD661" s="1656"/>
      <c r="ME661" s="1656"/>
      <c r="NP661" s="356"/>
    </row>
    <row r="662" spans="1:380" s="358" customFormat="1" ht="16.5" customHeight="1">
      <c r="B662" s="1656" t="s">
        <v>1211</v>
      </c>
      <c r="F662" s="356"/>
      <c r="G662" s="356"/>
      <c r="I662" s="1656" t="s">
        <v>1297</v>
      </c>
      <c r="O662" s="1656" t="s">
        <v>1300</v>
      </c>
      <c r="Q662" s="2730">
        <f>IF(OR('Part VI-Pro Forma'!$B$22 = "Choose Mgt Fee",'Part VI-Pro Forma'!$B$22 = "Choose One!"), 0,- 'Part VI-Pro Forma'!$B$22)</f>
        <v>46435</v>
      </c>
      <c r="S662" s="2672"/>
      <c r="T662" s="2672"/>
      <c r="U662" s="2672"/>
      <c r="V662" s="2672"/>
      <c r="W662" s="2672"/>
      <c r="X662" s="356"/>
      <c r="AC662" s="356"/>
      <c r="AH662" s="356"/>
      <c r="AM662" s="356"/>
      <c r="JW662" s="1803"/>
      <c r="KB662" s="1803"/>
      <c r="KG662" s="1803"/>
      <c r="KL662" s="1803"/>
      <c r="KM662" s="1803"/>
      <c r="KN662" s="1803"/>
      <c r="KO662" s="1803"/>
      <c r="KP662" s="1803"/>
      <c r="KQ662" s="1803"/>
      <c r="KR662" s="1803"/>
      <c r="KS662" s="1803"/>
      <c r="KT662" s="1803"/>
      <c r="KU662" s="1803"/>
      <c r="KV662" s="1803"/>
      <c r="KW662" s="1803"/>
      <c r="KX662" s="1803"/>
      <c r="KY662" s="1803"/>
      <c r="KZ662" s="1803"/>
      <c r="LA662" s="1803"/>
      <c r="LB662" s="1803"/>
      <c r="LC662" s="1803"/>
      <c r="LD662" s="1803"/>
      <c r="LE662" s="1803"/>
      <c r="LF662" s="1803"/>
      <c r="LG662" s="1803"/>
      <c r="LN662" s="1656"/>
      <c r="MD662" s="1656"/>
      <c r="ME662" s="1656"/>
      <c r="NP662" s="356"/>
    </row>
    <row r="663" spans="1:380" s="358" customFormat="1" ht="16.5" customHeight="1">
      <c r="B663" s="358" t="s">
        <v>2031</v>
      </c>
      <c r="F663" s="2711">
        <f>'Part V-Revenues &amp; Expenses'!F225</f>
        <v>72800</v>
      </c>
      <c r="G663" s="2711"/>
      <c r="I663" s="358" t="s">
        <v>1298</v>
      </c>
      <c r="L663" s="2711">
        <f>'Part V-Revenues &amp; Expenses'!L225</f>
        <v>0</v>
      </c>
      <c r="M663" s="2711"/>
      <c r="O663" s="2731">
        <f>+Q662/(P505*0.93)</f>
        <v>624.1263440860215</v>
      </c>
      <c r="P663" s="2690" t="s">
        <v>2477</v>
      </c>
      <c r="R663" s="2716"/>
      <c r="S663" s="2672"/>
      <c r="T663" s="2672"/>
      <c r="U663" s="2672"/>
      <c r="V663" s="2672"/>
      <c r="W663" s="2672"/>
      <c r="X663" s="356"/>
      <c r="AC663" s="356"/>
      <c r="AH663" s="356"/>
      <c r="AM663" s="356"/>
      <c r="JW663" s="1803"/>
      <c r="KB663" s="1803"/>
      <c r="KG663" s="1803"/>
      <c r="KL663" s="1803"/>
      <c r="KM663" s="1803"/>
      <c r="KN663" s="1803"/>
      <c r="KO663" s="1803"/>
      <c r="KP663" s="1803"/>
      <c r="KQ663" s="1803"/>
      <c r="KR663" s="1803"/>
      <c r="KS663" s="1803"/>
      <c r="KT663" s="1803"/>
      <c r="KU663" s="1803"/>
      <c r="KV663" s="1803"/>
      <c r="KW663" s="1803"/>
      <c r="KX663" s="1803"/>
      <c r="KY663" s="1803"/>
      <c r="KZ663" s="1803"/>
      <c r="LA663" s="1803"/>
      <c r="LB663" s="1803"/>
      <c r="LC663" s="1803"/>
      <c r="LD663" s="1803"/>
      <c r="LE663" s="1803"/>
      <c r="LF663" s="1803"/>
      <c r="LG663" s="1803"/>
      <c r="LN663" s="1656"/>
      <c r="MD663" s="1656"/>
      <c r="ME663" s="1656"/>
      <c r="NP663" s="356"/>
    </row>
    <row r="664" spans="1:380" s="358" customFormat="1" ht="16.5" customHeight="1">
      <c r="B664" s="358" t="s">
        <v>1287</v>
      </c>
      <c r="F664" s="2711">
        <f>'Part V-Revenues &amp; Expenses'!F226</f>
        <v>52000</v>
      </c>
      <c r="G664" s="2711"/>
      <c r="I664" s="358" t="s">
        <v>1299</v>
      </c>
      <c r="L664" s="2711">
        <f>'Part V-Revenues &amp; Expenses'!L226</f>
        <v>6000</v>
      </c>
      <c r="M664" s="2711"/>
      <c r="O664" s="2731">
        <f>+Q662/(P505*0.93)/12</f>
        <v>52.010528673835125</v>
      </c>
      <c r="P664" s="2690" t="s">
        <v>2478</v>
      </c>
      <c r="R664" s="2716"/>
      <c r="S664" s="2672"/>
      <c r="T664" s="2672"/>
      <c r="U664" s="2672"/>
      <c r="V664" s="2672"/>
      <c r="W664" s="2672"/>
      <c r="X664" s="356"/>
      <c r="AC664" s="356"/>
      <c r="AH664" s="356"/>
      <c r="AM664" s="356"/>
      <c r="JW664" s="1803"/>
      <c r="KB664" s="1803"/>
      <c r="KG664" s="1803"/>
      <c r="KL664" s="1803"/>
      <c r="KM664" s="1803"/>
      <c r="KN664" s="1803"/>
      <c r="KO664" s="1803"/>
      <c r="KP664" s="1803"/>
      <c r="KQ664" s="1803"/>
      <c r="KR664" s="1803"/>
      <c r="KS664" s="1803"/>
      <c r="KT664" s="1803"/>
      <c r="KU664" s="1803"/>
      <c r="KV664" s="1803"/>
      <c r="KW664" s="1803"/>
      <c r="KX664" s="1803"/>
      <c r="KY664" s="1803"/>
      <c r="KZ664" s="1803"/>
      <c r="LA664" s="1803"/>
      <c r="LB664" s="1803"/>
      <c r="LC664" s="1803"/>
      <c r="LD664" s="1803"/>
      <c r="LE664" s="1803"/>
      <c r="LF664" s="1803"/>
      <c r="LG664" s="1803"/>
      <c r="LN664" s="1656"/>
      <c r="MD664" s="1656"/>
      <c r="ME664" s="1656"/>
      <c r="NP664" s="356"/>
    </row>
    <row r="665" spans="1:380" s="358" customFormat="1" ht="16.5" customHeight="1">
      <c r="B665" s="358" t="s">
        <v>1164</v>
      </c>
      <c r="F665" s="2711">
        <f>'Part V-Revenues &amp; Expenses'!F227</f>
        <v>0</v>
      </c>
      <c r="G665" s="2711"/>
      <c r="K665" s="2732" t="s">
        <v>184</v>
      </c>
      <c r="L665" s="2711">
        <f>SUM(L663:M664)</f>
        <v>6000</v>
      </c>
      <c r="M665" s="2711"/>
      <c r="O665" s="361" t="s">
        <v>3138</v>
      </c>
      <c r="P665" s="361"/>
      <c r="Q665" s="361"/>
      <c r="R665" s="2716"/>
      <c r="S665" s="2672"/>
      <c r="T665" s="2672"/>
      <c r="U665" s="2672"/>
      <c r="V665" s="2672"/>
      <c r="W665" s="2672"/>
      <c r="X665" s="356"/>
      <c r="AC665" s="356"/>
      <c r="AH665" s="356"/>
      <c r="AM665" s="356"/>
      <c r="JW665" s="1803"/>
      <c r="KB665" s="1803"/>
      <c r="KG665" s="1803"/>
      <c r="KL665" s="1803"/>
      <c r="KM665" s="1803"/>
      <c r="KN665" s="1803"/>
      <c r="KO665" s="1803"/>
      <c r="KP665" s="1803"/>
      <c r="KQ665" s="1803"/>
      <c r="KR665" s="1803"/>
      <c r="KS665" s="1803"/>
      <c r="KT665" s="1803"/>
      <c r="KU665" s="1803"/>
      <c r="KV665" s="1803"/>
      <c r="KW665" s="1803"/>
      <c r="KX665" s="1803"/>
      <c r="KY665" s="1803"/>
      <c r="KZ665" s="1803"/>
      <c r="LA665" s="1803"/>
      <c r="LB665" s="1803"/>
      <c r="LC665" s="1803"/>
      <c r="LD665" s="1803"/>
      <c r="LE665" s="1803"/>
      <c r="LF665" s="1803"/>
      <c r="LG665" s="1803"/>
      <c r="LN665" s="1656"/>
      <c r="MD665" s="1656"/>
      <c r="ME665" s="1656"/>
      <c r="NP665" s="356"/>
    </row>
    <row r="666" spans="1:380" s="358" customFormat="1" ht="16.5" customHeight="1">
      <c r="B666" s="2733" t="s">
        <v>4528</v>
      </c>
      <c r="F666" s="2711">
        <f>'Part V-Revenues &amp; Expenses'!F228</f>
        <v>0</v>
      </c>
      <c r="G666" s="2711"/>
      <c r="R666" s="2716"/>
      <c r="S666" s="2672"/>
      <c r="T666" s="2672"/>
      <c r="U666" s="2672"/>
      <c r="V666" s="2672"/>
      <c r="W666" s="2672"/>
      <c r="X666" s="356"/>
      <c r="AC666" s="356"/>
      <c r="AH666" s="356"/>
      <c r="AM666" s="356"/>
      <c r="JW666" s="1803"/>
      <c r="KB666" s="1803"/>
      <c r="KG666" s="1803"/>
      <c r="KL666" s="1803"/>
      <c r="KM666" s="1803"/>
      <c r="KN666" s="1803"/>
      <c r="KO666" s="1803"/>
      <c r="KP666" s="1803"/>
      <c r="KQ666" s="1803"/>
      <c r="KR666" s="1803"/>
      <c r="KS666" s="1803"/>
      <c r="KT666" s="1803"/>
      <c r="KU666" s="1803"/>
      <c r="KV666" s="1803"/>
      <c r="KW666" s="1803"/>
      <c r="KX666" s="1803"/>
      <c r="KY666" s="1803"/>
      <c r="KZ666" s="1803"/>
      <c r="LA666" s="1803"/>
      <c r="LB666" s="1803"/>
      <c r="LC666" s="1803"/>
      <c r="LD666" s="1803"/>
      <c r="LE666" s="1803"/>
      <c r="LF666" s="1803"/>
      <c r="LG666" s="1803"/>
      <c r="LN666" s="1656"/>
      <c r="MD666" s="1656"/>
      <c r="ME666" s="1656"/>
    </row>
    <row r="667" spans="1:380" s="358" customFormat="1" ht="16.5" customHeight="1">
      <c r="B667" s="2733" t="s">
        <v>3892</v>
      </c>
      <c r="F667" s="2711">
        <f>'Part V-Revenues &amp; Expenses'!F229</f>
        <v>0</v>
      </c>
      <c r="G667" s="2711"/>
      <c r="R667" s="2716"/>
      <c r="S667" s="2672"/>
      <c r="T667" s="2672"/>
      <c r="U667" s="2672"/>
      <c r="V667" s="2672"/>
      <c r="W667" s="2672"/>
      <c r="X667" s="356"/>
      <c r="AC667" s="356"/>
      <c r="AH667" s="356"/>
      <c r="AM667" s="356"/>
      <c r="JW667" s="1803"/>
      <c r="KB667" s="1803"/>
      <c r="KG667" s="1803"/>
      <c r="KL667" s="1803"/>
      <c r="KM667" s="1803"/>
      <c r="KN667" s="1803"/>
      <c r="KO667" s="1803"/>
      <c r="KP667" s="1803"/>
      <c r="KQ667" s="1803"/>
      <c r="KR667" s="1803"/>
      <c r="KS667" s="1803"/>
      <c r="KT667" s="1803"/>
      <c r="KU667" s="1803"/>
      <c r="KV667" s="1803"/>
      <c r="KW667" s="1803"/>
      <c r="KX667" s="1803"/>
      <c r="KY667" s="1803"/>
      <c r="KZ667" s="1803"/>
      <c r="LA667" s="1803"/>
      <c r="LB667" s="1803"/>
      <c r="LC667" s="1803"/>
      <c r="LD667" s="1803"/>
      <c r="LE667" s="1803"/>
      <c r="LF667" s="1803"/>
      <c r="LG667" s="1803"/>
      <c r="LN667" s="1656"/>
      <c r="MD667" s="1656"/>
      <c r="ME667" s="1656"/>
    </row>
    <row r="668" spans="1:380" s="358" customFormat="1" ht="16.5" customHeight="1">
      <c r="B668" s="361" t="str">
        <f>'Part V-Revenues &amp; Expenses'!B230</f>
        <v>Other (FICA,WC,Bouns,etc)</v>
      </c>
      <c r="C668" s="361"/>
      <c r="D668" s="361"/>
      <c r="E668" s="361"/>
      <c r="F668" s="2711">
        <f>'Part V-Revenues &amp; Expenses'!F230</f>
        <v>31200</v>
      </c>
      <c r="G668" s="2711"/>
      <c r="I668" s="1656" t="s">
        <v>1213</v>
      </c>
      <c r="R668" s="2716"/>
      <c r="S668" s="2672"/>
      <c r="T668" s="2672"/>
      <c r="U668" s="2672"/>
      <c r="V668" s="2672"/>
      <c r="W668" s="2672"/>
      <c r="X668" s="356"/>
      <c r="AC668" s="356"/>
      <c r="AH668" s="356"/>
      <c r="AM668" s="356"/>
      <c r="JW668" s="1803"/>
      <c r="KB668" s="1803"/>
      <c r="KG668" s="1803"/>
      <c r="KL668" s="1803"/>
      <c r="KM668" s="1803"/>
      <c r="KN668" s="1803"/>
      <c r="KO668" s="1803"/>
      <c r="KP668" s="1803"/>
      <c r="KQ668" s="1803"/>
      <c r="KR668" s="1803"/>
      <c r="KS668" s="1803"/>
      <c r="KT668" s="1803"/>
      <c r="KU668" s="1803"/>
      <c r="KV668" s="1803"/>
      <c r="KW668" s="1803"/>
      <c r="KX668" s="1803"/>
      <c r="KY668" s="1803"/>
      <c r="KZ668" s="1803"/>
      <c r="LA668" s="1803"/>
      <c r="LB668" s="1803"/>
      <c r="LC668" s="1803"/>
      <c r="LD668" s="1803"/>
      <c r="LE668" s="1803"/>
      <c r="LF668" s="1803"/>
      <c r="LG668" s="1803"/>
      <c r="LN668" s="1656"/>
      <c r="MD668" s="1656"/>
      <c r="ME668" s="1656"/>
    </row>
    <row r="669" spans="1:380" s="358" customFormat="1" ht="16.5" customHeight="1">
      <c r="E669" s="2732" t="s">
        <v>184</v>
      </c>
      <c r="F669" s="2711">
        <f>SUM(F663:G668)</f>
        <v>156000</v>
      </c>
      <c r="G669" s="2711"/>
      <c r="I669" s="358" t="s">
        <v>1495</v>
      </c>
      <c r="L669" s="2711">
        <f>'Part V-Revenues &amp; Expenses'!L231</f>
        <v>4000</v>
      </c>
      <c r="M669" s="2711"/>
      <c r="S669" s="2672"/>
      <c r="T669" s="2672"/>
      <c r="U669" s="2672"/>
      <c r="V669" s="2672"/>
      <c r="W669" s="2672"/>
      <c r="X669" s="356"/>
      <c r="AC669" s="356"/>
      <c r="AH669" s="356"/>
      <c r="AM669" s="356"/>
      <c r="JW669" s="1803"/>
      <c r="KB669" s="1803"/>
      <c r="KG669" s="1803"/>
      <c r="KL669" s="1803"/>
      <c r="KM669" s="1803"/>
      <c r="KN669" s="1803"/>
      <c r="KO669" s="1803"/>
      <c r="KP669" s="1803"/>
      <c r="KQ669" s="1803"/>
      <c r="KR669" s="1803"/>
      <c r="KS669" s="1803"/>
      <c r="KT669" s="1803"/>
      <c r="KU669" s="1803"/>
      <c r="KV669" s="1803"/>
      <c r="KW669" s="1803"/>
      <c r="KX669" s="1803"/>
      <c r="KY669" s="1803"/>
      <c r="KZ669" s="1803"/>
      <c r="LA669" s="1803"/>
      <c r="LB669" s="1803"/>
      <c r="LC669" s="1803"/>
      <c r="LD669" s="1803"/>
      <c r="LE669" s="1803"/>
      <c r="LF669" s="1803"/>
      <c r="LG669" s="1803"/>
      <c r="LN669" s="1656"/>
      <c r="MD669" s="1656"/>
      <c r="ME669" s="1656"/>
    </row>
    <row r="670" spans="1:380" s="358" customFormat="1" ht="16.5" customHeight="1">
      <c r="C670" s="1656"/>
      <c r="D670" s="2732"/>
      <c r="F670" s="2686"/>
      <c r="G670" s="2686"/>
      <c r="I670" s="358" t="s">
        <v>1894</v>
      </c>
      <c r="L670" s="2711">
        <f>'Part V-Revenues &amp; Expenses'!L232</f>
        <v>12500</v>
      </c>
      <c r="M670" s="2711"/>
      <c r="N670" s="1545" t="str">
        <f>IF(Q672="","",IF(Q670&lt;Q672, "WARNING! OE below required minimum.",""))</f>
        <v/>
      </c>
      <c r="O670" s="1656" t="s">
        <v>2024</v>
      </c>
      <c r="Q670" s="2716">
        <f>F669+F678+F689+L665+L673+L683+L689+Q662</f>
        <v>589835</v>
      </c>
      <c r="S670" s="2672"/>
      <c r="T670" s="2672"/>
      <c r="U670" s="2672"/>
      <c r="V670" s="2672"/>
      <c r="W670" s="2672"/>
      <c r="JW670" s="1803"/>
      <c r="KB670" s="1803"/>
      <c r="KG670" s="1803"/>
      <c r="KL670" s="1803"/>
      <c r="KM670" s="1803"/>
      <c r="KN670" s="1803"/>
      <c r="KO670" s="1803"/>
      <c r="KP670" s="1803"/>
      <c r="KQ670" s="1803"/>
      <c r="KR670" s="1803"/>
      <c r="KS670" s="1803"/>
      <c r="KT670" s="1803"/>
      <c r="KU670" s="1803"/>
      <c r="KV670" s="1803"/>
      <c r="KW670" s="1803"/>
      <c r="KX670" s="1803"/>
      <c r="KY670" s="1803"/>
      <c r="KZ670" s="1803"/>
      <c r="LA670" s="1803"/>
      <c r="LB670" s="1803"/>
      <c r="LC670" s="1803"/>
      <c r="LD670" s="1803"/>
      <c r="LE670" s="1803"/>
      <c r="LF670" s="1803"/>
      <c r="LG670" s="1803"/>
      <c r="LN670" s="1656"/>
      <c r="MD670" s="1656"/>
      <c r="ME670" s="1656"/>
    </row>
    <row r="671" spans="1:380" s="358" customFormat="1" ht="16.5" customHeight="1">
      <c r="B671" s="1656" t="s">
        <v>1212</v>
      </c>
      <c r="D671" s="2702"/>
      <c r="I671" s="358" t="s">
        <v>1496</v>
      </c>
      <c r="L671" s="2711">
        <f>'Part V-Revenues &amp; Expenses'!L233</f>
        <v>4000</v>
      </c>
      <c r="M671" s="2711"/>
      <c r="N671" s="1545"/>
      <c r="O671" s="2690" t="s">
        <v>2479</v>
      </c>
      <c r="P671" s="2731">
        <f>+Q670/P505</f>
        <v>7372.9375</v>
      </c>
      <c r="R671" s="2730"/>
      <c r="S671" s="2672"/>
      <c r="T671" s="2672"/>
      <c r="U671" s="2672"/>
      <c r="V671" s="2672"/>
      <c r="W671" s="2672"/>
      <c r="X671" s="356"/>
      <c r="AC671" s="356"/>
      <c r="AH671" s="356"/>
      <c r="AM671" s="356"/>
      <c r="JW671" s="1803"/>
      <c r="KB671" s="1803"/>
      <c r="KG671" s="1803"/>
      <c r="KL671" s="1803"/>
      <c r="KM671" s="1803"/>
      <c r="KN671" s="1803"/>
      <c r="KO671" s="1803"/>
      <c r="KP671" s="1803"/>
      <c r="KQ671" s="1803"/>
      <c r="KR671" s="1803"/>
      <c r="KS671" s="1803"/>
      <c r="KT671" s="1803"/>
      <c r="KU671" s="1803"/>
      <c r="KV671" s="1803"/>
      <c r="KW671" s="1803"/>
      <c r="KX671" s="1803"/>
      <c r="KY671" s="1803"/>
      <c r="KZ671" s="1803"/>
      <c r="LA671" s="1803"/>
      <c r="LB671" s="1803"/>
      <c r="LC671" s="1803"/>
      <c r="LD671" s="1803"/>
      <c r="LE671" s="1803"/>
      <c r="LF671" s="1803"/>
      <c r="LG671" s="1803"/>
      <c r="LN671" s="1656"/>
      <c r="MD671" s="1656"/>
      <c r="ME671" s="1656"/>
      <c r="NP671" s="358" t="s">
        <v>4344</v>
      </c>
    </row>
    <row r="672" spans="1:380" s="358" customFormat="1" ht="16.5" customHeight="1">
      <c r="B672" s="358" t="s">
        <v>1292</v>
      </c>
      <c r="D672" s="2702"/>
      <c r="F672" s="2711">
        <f>'Part V-Revenues &amp; Expenses'!F234</f>
        <v>16000</v>
      </c>
      <c r="G672" s="2711"/>
      <c r="I672" s="2734" t="str">
        <f>'Part V-Revenues &amp; Expenses'!I234</f>
        <v>Other (describe here)</v>
      </c>
      <c r="J672" s="2734"/>
      <c r="K672" s="2734"/>
      <c r="L672" s="2711">
        <f>'Part V-Revenues &amp; Expenses'!L234</f>
        <v>0</v>
      </c>
      <c r="M672" s="2711"/>
      <c r="N672" s="1545"/>
      <c r="P672" s="2690" t="s">
        <v>3139</v>
      </c>
      <c r="Q672" s="271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2"/>
      <c r="T672" s="2672"/>
      <c r="U672" s="2672"/>
      <c r="V672" s="2672"/>
      <c r="W672" s="2672"/>
      <c r="X672" s="356"/>
      <c r="AC672" s="356"/>
      <c r="AH672" s="356"/>
      <c r="AM672" s="356"/>
      <c r="JW672" s="1803"/>
      <c r="KB672" s="1803"/>
      <c r="KG672" s="1803"/>
      <c r="KL672" s="1803"/>
      <c r="KM672" s="1803"/>
      <c r="KN672" s="1803"/>
      <c r="KO672" s="1803"/>
      <c r="KP672" s="1803"/>
      <c r="KQ672" s="1803"/>
      <c r="KR672" s="1803"/>
      <c r="KS672" s="1803"/>
      <c r="KT672" s="1803"/>
      <c r="KU672" s="1803"/>
      <c r="KV672" s="1803"/>
      <c r="KW672" s="1803"/>
      <c r="KX672" s="1803"/>
      <c r="KY672" s="1803"/>
      <c r="KZ672" s="1803"/>
      <c r="LA672" s="1803"/>
      <c r="LB672" s="1803"/>
      <c r="LC672" s="1803"/>
      <c r="LD672" s="1803"/>
      <c r="LE672" s="1803"/>
      <c r="LF672" s="1803"/>
      <c r="LG672" s="1803"/>
      <c r="LN672" s="1656"/>
      <c r="MD672" s="1656"/>
      <c r="ME672" s="1656"/>
    </row>
    <row r="673" spans="2:380" s="358" customFormat="1" ht="16.5" customHeight="1">
      <c r="B673" s="358" t="s">
        <v>1293</v>
      </c>
      <c r="D673" s="2702"/>
      <c r="F673" s="2711">
        <f>'Part V-Revenues &amp; Expenses'!F235</f>
        <v>7500</v>
      </c>
      <c r="G673" s="2711"/>
      <c r="I673" s="1656"/>
      <c r="K673" s="2732" t="s">
        <v>184</v>
      </c>
      <c r="L673" s="2716">
        <f>SUM(L669:L672)</f>
        <v>20500</v>
      </c>
      <c r="M673" s="2716"/>
      <c r="N673" s="1545"/>
      <c r="O673" s="2735" t="s">
        <v>4832</v>
      </c>
      <c r="P673" s="2735"/>
      <c r="Q673" s="2735"/>
      <c r="S673" s="2672"/>
      <c r="T673" s="2672"/>
      <c r="U673" s="2672"/>
      <c r="V673" s="2672"/>
      <c r="W673" s="2672"/>
      <c r="X673" s="356"/>
      <c r="AC673" s="356"/>
      <c r="AH673" s="356"/>
      <c r="AM673" s="356"/>
      <c r="JW673" s="1803"/>
      <c r="KB673" s="1803"/>
      <c r="KG673" s="1803"/>
      <c r="KL673" s="1803"/>
      <c r="KM673" s="1803"/>
      <c r="KN673" s="1803"/>
      <c r="KO673" s="1803"/>
      <c r="KP673" s="1803"/>
      <c r="KQ673" s="1803"/>
      <c r="KR673" s="1803"/>
      <c r="KS673" s="1803"/>
      <c r="KT673" s="1803"/>
      <c r="KU673" s="1803"/>
      <c r="KV673" s="1803"/>
      <c r="KW673" s="1803"/>
      <c r="KX673" s="1803"/>
      <c r="KY673" s="1803"/>
      <c r="KZ673" s="1803"/>
      <c r="LA673" s="1803"/>
      <c r="LB673" s="1803"/>
      <c r="LC673" s="1803"/>
      <c r="LD673" s="1803"/>
      <c r="LE673" s="1803"/>
      <c r="LF673" s="1803"/>
      <c r="LG673" s="1803"/>
      <c r="LN673" s="1656"/>
      <c r="MD673" s="1656"/>
      <c r="ME673" s="1656"/>
    </row>
    <row r="674" spans="2:380" s="358" customFormat="1" ht="16.5" customHeight="1">
      <c r="B674" s="358" t="s">
        <v>1294</v>
      </c>
      <c r="D674" s="2702"/>
      <c r="F674" s="2711">
        <f>'Part V-Revenues &amp; Expenses'!F236</f>
        <v>0</v>
      </c>
      <c r="G674" s="2711"/>
      <c r="O674" s="2735"/>
      <c r="P674" s="2735"/>
      <c r="Q674" s="2735"/>
      <c r="R674" s="1786"/>
      <c r="S674" s="2672"/>
      <c r="T674" s="2672"/>
      <c r="U674" s="2672"/>
      <c r="V674" s="2672"/>
      <c r="W674" s="2672"/>
      <c r="X674" s="356"/>
      <c r="AC674" s="356"/>
      <c r="AH674" s="356"/>
      <c r="AM674" s="356"/>
      <c r="JW674" s="1803"/>
      <c r="KB674" s="1803"/>
      <c r="KG674" s="1803"/>
      <c r="KL674" s="1803"/>
      <c r="KM674" s="1803"/>
      <c r="KN674" s="1803"/>
      <c r="KO674" s="1803"/>
      <c r="KP674" s="1803"/>
      <c r="KQ674" s="1803"/>
      <c r="KR674" s="1803"/>
      <c r="KS674" s="1803"/>
      <c r="KT674" s="1803"/>
      <c r="KU674" s="1803"/>
      <c r="KV674" s="1803"/>
      <c r="KW674" s="1803"/>
      <c r="KX674" s="1803"/>
      <c r="KY674" s="1803"/>
      <c r="KZ674" s="1803"/>
      <c r="LA674" s="1803"/>
      <c r="LB674" s="1803"/>
      <c r="LC674" s="1803"/>
      <c r="LD674" s="1803"/>
      <c r="LE674" s="1803"/>
      <c r="LF674" s="1803"/>
      <c r="LG674" s="1803"/>
      <c r="LN674" s="1656"/>
      <c r="MD674" s="1656"/>
      <c r="ME674" s="1656"/>
    </row>
    <row r="675" spans="2:380" s="358" customFormat="1" ht="16.5" customHeight="1">
      <c r="B675" s="358" t="s">
        <v>2155</v>
      </c>
      <c r="D675" s="2702"/>
      <c r="F675" s="2711">
        <f>'Part V-Revenues &amp; Expenses'!F237</f>
        <v>0</v>
      </c>
      <c r="G675" s="2711"/>
      <c r="R675" s="1786"/>
      <c r="S675" s="2672"/>
      <c r="T675" s="2672"/>
      <c r="U675" s="2672"/>
      <c r="V675" s="2672"/>
      <c r="W675" s="2672"/>
      <c r="X675" s="356"/>
      <c r="AC675" s="356"/>
      <c r="AH675" s="356"/>
      <c r="AM675" s="356"/>
      <c r="JW675" s="1803"/>
      <c r="KB675" s="1803"/>
      <c r="KG675" s="1803"/>
      <c r="KL675" s="1803"/>
      <c r="KM675" s="1803"/>
      <c r="KN675" s="1803"/>
      <c r="KO675" s="1803"/>
      <c r="KP675" s="1803"/>
      <c r="KQ675" s="1803"/>
      <c r="KR675" s="1803"/>
      <c r="KS675" s="1803"/>
      <c r="KT675" s="1803"/>
      <c r="KU675" s="1803"/>
      <c r="KV675" s="1803"/>
      <c r="KW675" s="1803"/>
      <c r="KX675" s="1803"/>
      <c r="KY675" s="1803"/>
      <c r="KZ675" s="1803"/>
      <c r="LA675" s="1803"/>
      <c r="LB675" s="1803"/>
      <c r="LC675" s="1803"/>
      <c r="LD675" s="1803"/>
      <c r="LE675" s="1803"/>
      <c r="LF675" s="1803"/>
      <c r="LG675" s="1803"/>
      <c r="LN675" s="1656"/>
      <c r="MD675" s="1656"/>
      <c r="ME675" s="1656"/>
      <c r="NP675" s="358" t="s">
        <v>4345</v>
      </c>
    </row>
    <row r="676" spans="2:380" s="358" customFormat="1" ht="16.5" customHeight="1">
      <c r="B676" s="358" t="s">
        <v>1493</v>
      </c>
      <c r="D676" s="2702"/>
      <c r="F676" s="2711">
        <f>'Part V-Revenues &amp; Expenses'!F238</f>
        <v>20000</v>
      </c>
      <c r="G676" s="2711"/>
      <c r="I676" s="1656" t="s">
        <v>1295</v>
      </c>
      <c r="K676" s="1533" t="s">
        <v>3761</v>
      </c>
      <c r="O676" s="1656" t="s">
        <v>3000</v>
      </c>
      <c r="P676" s="1656"/>
      <c r="Q676" s="2736">
        <f>Q685</f>
        <v>24000</v>
      </c>
      <c r="S676" s="2672"/>
      <c r="T676" s="2672"/>
      <c r="U676" s="2672"/>
      <c r="V676" s="2672"/>
      <c r="W676" s="2672"/>
      <c r="X676" s="356"/>
      <c r="AC676" s="356"/>
      <c r="AH676" s="356"/>
      <c r="AM676" s="356"/>
      <c r="JW676" s="1803"/>
      <c r="KB676" s="1803"/>
      <c r="KG676" s="1803"/>
      <c r="KL676" s="1803"/>
      <c r="KM676" s="1803"/>
      <c r="KN676" s="1803"/>
      <c r="KO676" s="1803"/>
      <c r="KP676" s="1803"/>
      <c r="KQ676" s="1803"/>
      <c r="KR676" s="1803"/>
      <c r="KS676" s="1803"/>
      <c r="KT676" s="1803"/>
      <c r="KU676" s="1803"/>
      <c r="KV676" s="1803"/>
      <c r="KW676" s="1803"/>
      <c r="KX676" s="1803"/>
      <c r="KY676" s="1803"/>
      <c r="KZ676" s="1803"/>
      <c r="LA676" s="1803"/>
      <c r="LB676" s="1803"/>
      <c r="LC676" s="1803"/>
      <c r="LD676" s="1803"/>
      <c r="LE676" s="1803"/>
      <c r="LF676" s="1803"/>
      <c r="LG676" s="1803"/>
      <c r="LN676" s="1656"/>
      <c r="MD676" s="1656"/>
      <c r="ME676" s="1656"/>
    </row>
    <row r="677" spans="2:380" s="358" customFormat="1" ht="16.5" customHeight="1">
      <c r="B677" s="361" t="str">
        <f>'Part V-Revenues &amp; Expenses'!B239</f>
        <v>Other (describe here)</v>
      </c>
      <c r="C677" s="361"/>
      <c r="D677" s="361"/>
      <c r="E677" s="361"/>
      <c r="F677" s="2711">
        <f>'Part V-Revenues &amp; Expenses'!F239</f>
        <v>0</v>
      </c>
      <c r="G677" s="2711"/>
      <c r="I677" s="358" t="s">
        <v>1288</v>
      </c>
      <c r="K677" s="2596">
        <f>L677/12/P505</f>
        <v>16.666666666666664</v>
      </c>
      <c r="L677" s="2711">
        <f>'Part V-Revenues &amp; Expenses'!L239</f>
        <v>16000</v>
      </c>
      <c r="M677" s="2711"/>
      <c r="N677" s="1545" t="str">
        <f>IF(Q676&lt;Q685, "WARNING! RR proposed is below the DCA required minimum.","")</f>
        <v/>
      </c>
      <c r="O677" s="361" t="s">
        <v>3760</v>
      </c>
      <c r="Q677" s="2737">
        <f>Q676/P685</f>
        <v>300</v>
      </c>
      <c r="R677" s="2716"/>
      <c r="S677" s="2672"/>
      <c r="T677" s="2672"/>
      <c r="U677" s="2672"/>
      <c r="V677" s="2672"/>
      <c r="W677" s="2672"/>
      <c r="X677" s="356"/>
      <c r="AC677" s="356"/>
      <c r="AH677" s="356"/>
      <c r="AM677" s="356"/>
      <c r="JW677" s="1803"/>
      <c r="KB677" s="1803"/>
      <c r="KG677" s="1803"/>
      <c r="KL677" s="1803"/>
      <c r="KM677" s="1803"/>
      <c r="KN677" s="1803"/>
      <c r="KO677" s="1803"/>
      <c r="KP677" s="1803"/>
      <c r="KQ677" s="1803"/>
      <c r="KR677" s="1803"/>
      <c r="KS677" s="1803"/>
      <c r="KT677" s="1803"/>
      <c r="KU677" s="1803"/>
      <c r="KV677" s="1803"/>
      <c r="KW677" s="1803"/>
      <c r="KX677" s="1803"/>
      <c r="KY677" s="1803"/>
      <c r="KZ677" s="1803"/>
      <c r="LA677" s="1803"/>
      <c r="LB677" s="1803"/>
      <c r="LC677" s="1803"/>
      <c r="LD677" s="1803"/>
      <c r="LE677" s="1803"/>
      <c r="LF677" s="1803"/>
      <c r="LG677" s="1803"/>
      <c r="LN677" s="1656"/>
      <c r="MD677" s="1656"/>
      <c r="ME677" s="1656"/>
    </row>
    <row r="678" spans="2:380" s="358" customFormat="1" ht="16.5" customHeight="1">
      <c r="E678" s="2732" t="s">
        <v>184</v>
      </c>
      <c r="F678" s="2711">
        <f>SUM(F672:G677)</f>
        <v>43500</v>
      </c>
      <c r="G678" s="2711"/>
      <c r="I678" s="358" t="s">
        <v>1289</v>
      </c>
      <c r="K678" s="2596">
        <f>L678/12/P505</f>
        <v>0</v>
      </c>
      <c r="L678" s="2711">
        <f>'Part V-Revenues &amp; Expenses'!L240</f>
        <v>0</v>
      </c>
      <c r="M678" s="2711"/>
      <c r="N678" s="1545"/>
      <c r="O678" s="2738" t="s">
        <v>3147</v>
      </c>
      <c r="P678" s="2738"/>
      <c r="Q678" s="2738"/>
      <c r="S678" s="2672"/>
      <c r="T678" s="2672"/>
      <c r="U678" s="2672"/>
      <c r="V678" s="2672"/>
      <c r="W678" s="2672"/>
      <c r="X678" s="356"/>
      <c r="AC678" s="356"/>
      <c r="AH678" s="356"/>
      <c r="AM678" s="356"/>
      <c r="JW678" s="1803"/>
      <c r="KB678" s="1803"/>
      <c r="KG678" s="1803"/>
      <c r="KL678" s="1803"/>
      <c r="KM678" s="1803"/>
      <c r="KN678" s="1803"/>
      <c r="KO678" s="1803"/>
      <c r="KP678" s="1803"/>
      <c r="KQ678" s="1803"/>
      <c r="KR678" s="1803"/>
      <c r="KS678" s="1803"/>
      <c r="KT678" s="1803"/>
      <c r="KU678" s="1803"/>
      <c r="KV678" s="1803"/>
      <c r="KW678" s="1803"/>
      <c r="KX678" s="1803"/>
      <c r="KY678" s="1803"/>
      <c r="KZ678" s="1803"/>
      <c r="LA678" s="1803"/>
      <c r="LB678" s="1803"/>
      <c r="LC678" s="1803"/>
      <c r="LD678" s="1803"/>
      <c r="LE678" s="1803"/>
      <c r="LF678" s="1803"/>
      <c r="LG678" s="1803"/>
      <c r="LN678" s="1656"/>
      <c r="MD678" s="1656"/>
      <c r="ME678" s="1656"/>
    </row>
    <row r="679" spans="2:380" s="358" customFormat="1" ht="16.5" customHeight="1">
      <c r="D679" s="2732"/>
      <c r="F679" s="2686"/>
      <c r="G679" s="2686"/>
      <c r="I679" s="358" t="s">
        <v>3805</v>
      </c>
      <c r="K679" s="2596">
        <f>L679/12/P505</f>
        <v>7.916666666666667</v>
      </c>
      <c r="L679" s="2711">
        <f>'Part V-Revenues &amp; Expenses'!L241</f>
        <v>7600</v>
      </c>
      <c r="M679" s="2711"/>
      <c r="N679" s="1545"/>
      <c r="O679" s="2739" t="s">
        <v>2457</v>
      </c>
      <c r="P679" s="2740" t="s">
        <v>3201</v>
      </c>
      <c r="Q679" s="2740" t="s">
        <v>2971</v>
      </c>
      <c r="S679" s="2672"/>
      <c r="T679" s="2672"/>
      <c r="U679" s="2672"/>
      <c r="V679" s="2672"/>
      <c r="W679" s="2672"/>
      <c r="JW679" s="1803"/>
      <c r="KB679" s="1803"/>
      <c r="KG679" s="1803"/>
      <c r="KL679" s="1803"/>
      <c r="KM679" s="1803"/>
      <c r="KN679" s="1803"/>
      <c r="KO679" s="1803"/>
      <c r="KP679" s="1803"/>
      <c r="KQ679" s="1803"/>
      <c r="KR679" s="1803"/>
      <c r="KS679" s="1803"/>
      <c r="KT679" s="1803"/>
      <c r="KU679" s="1803"/>
      <c r="KV679" s="1803"/>
      <c r="KW679" s="1803"/>
      <c r="KX679" s="1803"/>
      <c r="KY679" s="1803"/>
      <c r="KZ679" s="1803"/>
      <c r="LA679" s="1803"/>
      <c r="LB679" s="1803"/>
      <c r="LC679" s="1803"/>
      <c r="LD679" s="1803"/>
      <c r="LE679" s="1803"/>
      <c r="LF679" s="1803"/>
      <c r="LG679" s="1803"/>
      <c r="LN679" s="1656"/>
      <c r="MD679" s="1656"/>
      <c r="ME679" s="1656"/>
      <c r="NP679" s="358" t="s">
        <v>4278</v>
      </c>
    </row>
    <row r="680" spans="2:380" s="358" customFormat="1" ht="16.5" customHeight="1">
      <c r="B680" s="1656" t="s">
        <v>1214</v>
      </c>
      <c r="D680" s="2702"/>
      <c r="I680" s="358" t="s">
        <v>1291</v>
      </c>
      <c r="K680" s="2596">
        <f>L680/12/P505</f>
        <v>12.5</v>
      </c>
      <c r="L680" s="2711">
        <f>'Part V-Revenues &amp; Expenses'!L242</f>
        <v>12000</v>
      </c>
      <c r="M680" s="2711"/>
      <c r="N680" s="1545"/>
      <c r="O680" s="403" t="s">
        <v>36</v>
      </c>
      <c r="R680" s="2730"/>
      <c r="S680" s="2672"/>
      <c r="T680" s="2672"/>
      <c r="U680" s="2672"/>
      <c r="V680" s="2672"/>
      <c r="W680" s="2672"/>
      <c r="X680" s="356"/>
      <c r="AC680" s="356"/>
      <c r="AH680" s="356"/>
      <c r="AM680" s="356"/>
      <c r="JW680" s="1803"/>
      <c r="KB680" s="1803"/>
      <c r="KG680" s="1803"/>
      <c r="KL680" s="1803"/>
      <c r="KM680" s="1803"/>
      <c r="KN680" s="1803"/>
      <c r="KO680" s="1803"/>
      <c r="KP680" s="1803"/>
      <c r="KQ680" s="1803"/>
      <c r="KR680" s="1803"/>
      <c r="KS680" s="1803"/>
      <c r="KT680" s="1803"/>
      <c r="KU680" s="1803"/>
      <c r="KV680" s="1803"/>
      <c r="KW680" s="1803"/>
      <c r="KX680" s="1803"/>
      <c r="KY680" s="1803"/>
      <c r="KZ680" s="1803"/>
      <c r="LA680" s="1803"/>
      <c r="LB680" s="1803"/>
      <c r="LC680" s="1803"/>
      <c r="LD680" s="1803"/>
      <c r="LE680" s="1803"/>
      <c r="LF680" s="1803"/>
      <c r="LG680" s="1803"/>
      <c r="LN680" s="1656"/>
      <c r="MD680" s="1656"/>
      <c r="ME680" s="1656"/>
    </row>
    <row r="681" spans="2:380" s="358" customFormat="1" ht="16.5" customHeight="1">
      <c r="B681" s="358" t="s">
        <v>1497</v>
      </c>
      <c r="D681" s="2702"/>
      <c r="F681" s="2711">
        <f>'Part V-Revenues &amp; Expenses'!F243</f>
        <v>0</v>
      </c>
      <c r="G681" s="2711"/>
      <c r="I681" s="358" t="s">
        <v>5096</v>
      </c>
      <c r="K681" s="2596">
        <f>L681/12/P505</f>
        <v>3.125</v>
      </c>
      <c r="L681" s="2711">
        <f>'Part V-Revenues &amp; Expenses'!L243</f>
        <v>3000</v>
      </c>
      <c r="M681" s="2711"/>
      <c r="N681" s="1545"/>
      <c r="O681" s="2505" t="s">
        <v>2969</v>
      </c>
      <c r="P681" s="2741" t="str">
        <f>CONCATENATE(SUM(MF487:MJ487)," units x $",'DCA Underwriting Assumptions'!$Q$41," =")</f>
        <v>0 units x $400 =</v>
      </c>
      <c r="Q681" s="2741">
        <f>SUM(MF487:MJ487)*'DCA Underwriting Assumptions'!$Q$41</f>
        <v>0</v>
      </c>
      <c r="R681" s="2736"/>
      <c r="S681" s="2672"/>
      <c r="T681" s="2672"/>
      <c r="U681" s="2672"/>
      <c r="V681" s="2672"/>
      <c r="W681" s="2672"/>
      <c r="X681" s="356"/>
      <c r="AC681" s="356"/>
      <c r="AH681" s="356"/>
      <c r="AM681" s="356"/>
      <c r="JW681" s="1803"/>
      <c r="KB681" s="1803"/>
      <c r="KG681" s="1803"/>
      <c r="KL681" s="1803"/>
      <c r="KM681" s="1803"/>
      <c r="KN681" s="1803"/>
      <c r="KO681" s="1803"/>
      <c r="KP681" s="1803"/>
      <c r="KQ681" s="1803"/>
      <c r="KR681" s="1803"/>
      <c r="KS681" s="1803"/>
      <c r="KT681" s="1803"/>
      <c r="KU681" s="1803"/>
      <c r="KV681" s="1803"/>
      <c r="KW681" s="1803"/>
      <c r="KX681" s="1803"/>
      <c r="KY681" s="1803"/>
      <c r="KZ681" s="1803"/>
      <c r="LA681" s="1803"/>
      <c r="LB681" s="1803"/>
      <c r="LC681" s="1803"/>
      <c r="LD681" s="1803"/>
      <c r="LE681" s="1803"/>
      <c r="LF681" s="1803"/>
      <c r="LG681" s="1803"/>
      <c r="LN681" s="1656"/>
      <c r="MD681" s="1656"/>
      <c r="ME681" s="1656"/>
    </row>
    <row r="682" spans="2:380" s="358" customFormat="1" ht="16.5" customHeight="1">
      <c r="B682" s="358" t="s">
        <v>1498</v>
      </c>
      <c r="D682" s="2702"/>
      <c r="F682" s="2711">
        <f>'Part V-Revenues &amp; Expenses'!F244</f>
        <v>22000</v>
      </c>
      <c r="G682" s="2711"/>
      <c r="I682" s="2734" t="str">
        <f>'Part V-Revenues &amp; Expenses'!I244</f>
        <v>Other (describe here)</v>
      </c>
      <c r="J682" s="2734"/>
      <c r="K682" s="2596">
        <f>L682/12/P505</f>
        <v>0</v>
      </c>
      <c r="L682" s="2711">
        <f>'Part V-Revenues &amp; Expenses'!L244</f>
        <v>0</v>
      </c>
      <c r="M682" s="2711"/>
      <c r="N682" s="1545"/>
      <c r="O682" s="2505" t="s">
        <v>2968</v>
      </c>
      <c r="P682" s="2741" t="str">
        <f>CONCATENATE(SUM(MK487:MO487)," units x $",'DCA Underwriting Assumptions'!$Q$42," =")</f>
        <v>80 units x $300 =</v>
      </c>
      <c r="Q682" s="2741">
        <f>SUM(MK487:MO487)*'DCA Underwriting Assumptions'!$Q$42</f>
        <v>24000</v>
      </c>
      <c r="S682" s="2672"/>
      <c r="T682" s="2672"/>
      <c r="U682" s="2672"/>
      <c r="V682" s="2672"/>
      <c r="W682" s="2672"/>
      <c r="X682" s="356"/>
      <c r="AC682" s="356"/>
      <c r="AH682" s="356"/>
      <c r="AM682" s="356"/>
      <c r="JW682" s="1803"/>
      <c r="KB682" s="1803"/>
      <c r="KG682" s="1803"/>
      <c r="KL682" s="1803"/>
      <c r="KM682" s="1803"/>
      <c r="KN682" s="1803"/>
      <c r="KO682" s="1803"/>
      <c r="KP682" s="1803"/>
      <c r="KQ682" s="1803"/>
      <c r="KR682" s="1803"/>
      <c r="KS682" s="1803"/>
      <c r="KT682" s="1803"/>
      <c r="KU682" s="1803"/>
      <c r="KV682" s="1803"/>
      <c r="KW682" s="1803"/>
      <c r="KX682" s="1803"/>
      <c r="KY682" s="1803"/>
      <c r="KZ682" s="1803"/>
      <c r="LA682" s="1803"/>
      <c r="LB682" s="1803"/>
      <c r="LC682" s="1803"/>
      <c r="LD682" s="1803"/>
      <c r="LE682" s="1803"/>
      <c r="LF682" s="1803"/>
      <c r="LG682" s="1803"/>
      <c r="LN682" s="1656"/>
      <c r="MD682" s="1656"/>
      <c r="ME682" s="1656"/>
    </row>
    <row r="683" spans="2:380" s="358" customFormat="1" ht="16.5" customHeight="1">
      <c r="B683" s="358" t="s">
        <v>1499</v>
      </c>
      <c r="D683" s="2702"/>
      <c r="F683" s="2711">
        <f>'Part V-Revenues &amp; Expenses'!F245</f>
        <v>15000</v>
      </c>
      <c r="G683" s="2711"/>
      <c r="K683" s="2732" t="s">
        <v>184</v>
      </c>
      <c r="L683" s="2716">
        <f>SUM(L677:L682)</f>
        <v>38600</v>
      </c>
      <c r="M683" s="2716"/>
      <c r="N683" s="1545"/>
      <c r="O683" s="2561" t="s">
        <v>4397</v>
      </c>
      <c r="P683" s="2741" t="str">
        <f>CONCATENATE(SUM(MP487:MT487)," units x $",'DCA Underwriting Assumptions'!$Q$43," =")</f>
        <v>0 units x $470 =</v>
      </c>
      <c r="Q683" s="2741">
        <f>SUM(MP487:MT487)*'DCA Underwriting Assumptions'!$Q$43</f>
        <v>0</v>
      </c>
      <c r="R683" s="2740"/>
      <c r="S683" s="2672"/>
      <c r="T683" s="2672"/>
      <c r="U683" s="2672"/>
      <c r="V683" s="2672"/>
      <c r="W683" s="2672"/>
      <c r="X683" s="356"/>
      <c r="AC683" s="356"/>
      <c r="AH683" s="356"/>
      <c r="AM683" s="356"/>
      <c r="JW683" s="1803"/>
      <c r="KB683" s="1803"/>
      <c r="KG683" s="1803"/>
      <c r="KL683" s="1803"/>
      <c r="KM683" s="1803"/>
      <c r="KN683" s="1803"/>
      <c r="KO683" s="1803"/>
      <c r="KP683" s="1803"/>
      <c r="KQ683" s="1803"/>
      <c r="KR683" s="1803"/>
      <c r="KS683" s="1803"/>
      <c r="KT683" s="1803"/>
      <c r="KU683" s="1803"/>
      <c r="KV683" s="1803"/>
      <c r="KW683" s="1803"/>
      <c r="KX683" s="1803"/>
      <c r="KY683" s="1803"/>
      <c r="KZ683" s="1803"/>
      <c r="LA683" s="1803"/>
      <c r="LB683" s="1803"/>
      <c r="LC683" s="1803"/>
      <c r="LD683" s="1803"/>
      <c r="LE683" s="1803"/>
      <c r="LF683" s="1803"/>
      <c r="LG683" s="1803"/>
      <c r="LN683" s="1656"/>
      <c r="MD683" s="1656"/>
      <c r="ME683" s="1656"/>
    </row>
    <row r="684" spans="2:380" s="358" customFormat="1" ht="16.5" customHeight="1">
      <c r="B684" s="358" t="s">
        <v>938</v>
      </c>
      <c r="D684" s="2702"/>
      <c r="F684" s="2711">
        <f>'Part V-Revenues &amp; Expenses'!F246</f>
        <v>4000</v>
      </c>
      <c r="G684" s="2711"/>
      <c r="O684" s="2561" t="s">
        <v>2967</v>
      </c>
      <c r="P684" s="2741" t="str">
        <f>CONCATENATE(P563," units x $",'DCA Underwriting Assumptions'!$Q$44," =")</f>
        <v>0 units x $420 =</v>
      </c>
      <c r="Q684" s="2741">
        <f>P563*'DCA Underwriting Assumptions'!$Q$44</f>
        <v>0</v>
      </c>
      <c r="S684" s="2672"/>
      <c r="T684" s="2672"/>
      <c r="U684" s="2672"/>
      <c r="V684" s="2672"/>
      <c r="W684" s="2672"/>
      <c r="X684" s="356"/>
      <c r="AC684" s="356"/>
      <c r="AH684" s="356"/>
      <c r="AM684" s="356"/>
      <c r="JW684" s="1803"/>
      <c r="KB684" s="1803"/>
      <c r="KG684" s="1803"/>
      <c r="KL684" s="1803"/>
      <c r="KM684" s="1803"/>
      <c r="KN684" s="1803"/>
      <c r="KO684" s="1803"/>
      <c r="KP684" s="1803"/>
      <c r="KQ684" s="1803"/>
      <c r="KR684" s="1803"/>
      <c r="KS684" s="1803"/>
      <c r="KT684" s="1803"/>
      <c r="KU684" s="1803"/>
      <c r="KV684" s="1803"/>
      <c r="KW684" s="1803"/>
      <c r="KX684" s="1803"/>
      <c r="KY684" s="1803"/>
      <c r="KZ684" s="1803"/>
      <c r="LA684" s="1803"/>
      <c r="LB684" s="1803"/>
      <c r="LC684" s="1803"/>
      <c r="LD684" s="1803"/>
      <c r="LE684" s="1803"/>
      <c r="LF684" s="1803"/>
      <c r="LG684" s="1803"/>
      <c r="LN684" s="1656"/>
      <c r="MD684" s="1656"/>
      <c r="ME684" s="1656"/>
      <c r="NP684" s="358" t="s">
        <v>4346</v>
      </c>
    </row>
    <row r="685" spans="2:380" s="358" customFormat="1" ht="16.5" customHeight="1">
      <c r="B685" s="358" t="s">
        <v>939</v>
      </c>
      <c r="D685" s="2702"/>
      <c r="F685" s="2711">
        <f>'Part V-Revenues &amp; Expenses'!F247</f>
        <v>12000</v>
      </c>
      <c r="G685" s="2711"/>
      <c r="I685" s="1656" t="s">
        <v>1296</v>
      </c>
      <c r="O685" s="2680" t="s">
        <v>2460</v>
      </c>
      <c r="P685" s="2670">
        <f>SUM(MF487:MJ487)+SUM(MK487:MO487)+SUM(MP487:MT487)+P563</f>
        <v>80</v>
      </c>
      <c r="Q685" s="2742">
        <f>SUM(Q681:Q684)</f>
        <v>24000</v>
      </c>
      <c r="R685" s="2741"/>
      <c r="S685" s="2672"/>
      <c r="T685" s="2672"/>
      <c r="U685" s="2672"/>
      <c r="V685" s="2672"/>
      <c r="W685" s="2672"/>
      <c r="X685" s="356"/>
      <c r="AC685" s="356"/>
      <c r="AH685" s="356"/>
      <c r="AM685" s="356"/>
      <c r="JW685" s="1803"/>
      <c r="KB685" s="1803"/>
      <c r="KG685" s="1803"/>
      <c r="KL685" s="1803"/>
      <c r="KM685" s="1803"/>
      <c r="KN685" s="1803"/>
      <c r="KO685" s="1803"/>
      <c r="KP685" s="1803"/>
      <c r="KQ685" s="1803"/>
      <c r="KR685" s="1803"/>
      <c r="KS685" s="1803"/>
      <c r="KT685" s="1803"/>
      <c r="KU685" s="1803"/>
      <c r="KV685" s="1803"/>
      <c r="KW685" s="1803"/>
      <c r="KX685" s="1803"/>
      <c r="KY685" s="1803"/>
      <c r="KZ685" s="1803"/>
      <c r="LA685" s="1803"/>
      <c r="LB685" s="1803"/>
      <c r="LC685" s="1803"/>
      <c r="LD685" s="1803"/>
      <c r="LE685" s="1803"/>
      <c r="LF685" s="1803"/>
      <c r="LG685" s="1803"/>
      <c r="LN685" s="1656"/>
      <c r="MD685" s="1656"/>
      <c r="ME685" s="1656"/>
    </row>
    <row r="686" spans="2:380" s="358" customFormat="1" ht="16.5" customHeight="1">
      <c r="B686" s="358" t="s">
        <v>940</v>
      </c>
      <c r="D686" s="2702"/>
      <c r="F686" s="2711">
        <f>'Part V-Revenues &amp; Expenses'!F248</f>
        <v>9000</v>
      </c>
      <c r="G686" s="2711"/>
      <c r="I686" s="358" t="s">
        <v>5097</v>
      </c>
      <c r="L686" s="2711">
        <f>'Part V-Revenues &amp; Expenses'!L248</f>
        <v>114000</v>
      </c>
      <c r="M686" s="2711"/>
      <c r="R686" s="2741"/>
      <c r="S686" s="2672"/>
      <c r="T686" s="2672"/>
      <c r="U686" s="2672"/>
      <c r="V686" s="2672"/>
      <c r="W686" s="2672"/>
      <c r="X686" s="356"/>
      <c r="AC686" s="356"/>
      <c r="AH686" s="356"/>
      <c r="AM686" s="356"/>
      <c r="JW686" s="1803"/>
      <c r="KB686" s="1803"/>
      <c r="KG686" s="1803"/>
      <c r="KL686" s="1803"/>
      <c r="KM686" s="1803"/>
      <c r="KN686" s="1803"/>
      <c r="KO686" s="1803"/>
      <c r="KP686" s="1803"/>
      <c r="KQ686" s="1803"/>
      <c r="KR686" s="1803"/>
      <c r="KS686" s="1803"/>
      <c r="KT686" s="1803"/>
      <c r="KU686" s="1803"/>
      <c r="KV686" s="1803"/>
      <c r="KW686" s="1803"/>
      <c r="KX686" s="1803"/>
      <c r="KY686" s="1803"/>
      <c r="KZ686" s="1803"/>
      <c r="LA686" s="1803"/>
      <c r="LB686" s="1803"/>
      <c r="LC686" s="1803"/>
      <c r="LD686" s="1803"/>
      <c r="LE686" s="1803"/>
      <c r="LF686" s="1803"/>
      <c r="LG686" s="1803"/>
      <c r="LN686" s="1656"/>
      <c r="MD686" s="1656"/>
      <c r="ME686" s="1656"/>
    </row>
    <row r="687" spans="2:380" s="358" customFormat="1" ht="16.5" customHeight="1">
      <c r="B687" s="358" t="s">
        <v>810</v>
      </c>
      <c r="D687" s="2702"/>
      <c r="F687" s="2711">
        <f>'Part V-Revenues &amp; Expenses'!F249</f>
        <v>12000</v>
      </c>
      <c r="G687" s="2711"/>
      <c r="I687" s="358" t="s">
        <v>140</v>
      </c>
      <c r="L687" s="2711">
        <f>'Part V-Revenues &amp; Expenses'!L249</f>
        <v>84800</v>
      </c>
      <c r="M687" s="2711"/>
      <c r="R687" s="2741"/>
      <c r="S687" s="2672"/>
      <c r="T687" s="2672"/>
      <c r="U687" s="2672"/>
      <c r="V687" s="2672"/>
      <c r="W687" s="2672"/>
      <c r="X687" s="356"/>
      <c r="AC687" s="356"/>
      <c r="AH687" s="356"/>
      <c r="AM687" s="356"/>
      <c r="JW687" s="1803"/>
      <c r="KB687" s="1803"/>
      <c r="KG687" s="1803"/>
      <c r="KL687" s="1803"/>
      <c r="KM687" s="1803"/>
      <c r="KN687" s="1803"/>
      <c r="KO687" s="1803"/>
      <c r="KP687" s="1803"/>
      <c r="KQ687" s="1803"/>
      <c r="KR687" s="1803"/>
      <c r="KS687" s="1803"/>
      <c r="KT687" s="1803"/>
      <c r="KU687" s="1803"/>
      <c r="KV687" s="1803"/>
      <c r="KW687" s="1803"/>
      <c r="KX687" s="1803"/>
      <c r="KY687" s="1803"/>
      <c r="KZ687" s="1803"/>
      <c r="LA687" s="1803"/>
      <c r="LB687" s="1803"/>
      <c r="LC687" s="1803"/>
      <c r="LD687" s="1803"/>
      <c r="LE687" s="1803"/>
      <c r="LF687" s="1803"/>
      <c r="LG687" s="1803"/>
      <c r="LN687" s="1656"/>
      <c r="MD687" s="1656"/>
      <c r="ME687" s="1656"/>
    </row>
    <row r="688" spans="2:380" s="358" customFormat="1" ht="16.5" customHeight="1">
      <c r="B688" s="361" t="str">
        <f>'Part V-Revenues &amp; Expenses'!B250</f>
        <v>Other (decorating)</v>
      </c>
      <c r="C688" s="361"/>
      <c r="D688" s="361"/>
      <c r="E688" s="361"/>
      <c r="F688" s="2711">
        <f>'Part V-Revenues &amp; Expenses'!F250</f>
        <v>6000</v>
      </c>
      <c r="G688" s="2711"/>
      <c r="I688" s="2734" t="str">
        <f>'Part V-Revenues &amp; Expenses'!I250</f>
        <v>Other (describe here)</v>
      </c>
      <c r="J688" s="2734"/>
      <c r="K688" s="2734"/>
      <c r="L688" s="2711">
        <f>'Part V-Revenues &amp; Expenses'!L250</f>
        <v>0</v>
      </c>
      <c r="M688" s="2711"/>
      <c r="R688" s="2741"/>
      <c r="S688" s="2672"/>
      <c r="T688" s="2672"/>
      <c r="U688" s="2672"/>
      <c r="V688" s="2672"/>
      <c r="W688" s="2672"/>
      <c r="X688" s="356"/>
      <c r="AC688" s="356"/>
      <c r="AH688" s="356"/>
      <c r="AM688" s="356"/>
      <c r="JW688" s="1803"/>
      <c r="KB688" s="1803"/>
      <c r="KG688" s="1803"/>
      <c r="KL688" s="1803"/>
      <c r="KM688" s="1803"/>
      <c r="KN688" s="1803"/>
      <c r="KO688" s="1803"/>
      <c r="KP688" s="1803"/>
      <c r="KQ688" s="1803"/>
      <c r="KR688" s="1803"/>
      <c r="KS688" s="1803"/>
      <c r="KT688" s="1803"/>
      <c r="KU688" s="1803"/>
      <c r="KV688" s="1803"/>
      <c r="KW688" s="1803"/>
      <c r="KX688" s="1803"/>
      <c r="KY688" s="1803"/>
      <c r="KZ688" s="1803"/>
      <c r="LA688" s="1803"/>
      <c r="LB688" s="1803"/>
      <c r="LC688" s="1803"/>
      <c r="LD688" s="1803"/>
      <c r="LE688" s="1803"/>
      <c r="LF688" s="1803"/>
      <c r="LG688" s="1803"/>
      <c r="LN688" s="1656"/>
      <c r="MD688" s="1656"/>
      <c r="ME688" s="1656"/>
      <c r="NP688" s="358" t="s">
        <v>4347</v>
      </c>
    </row>
    <row r="689" spans="1:380" s="358" customFormat="1" ht="16.5" customHeight="1">
      <c r="B689" s="1656"/>
      <c r="E689" s="2732" t="s">
        <v>184</v>
      </c>
      <c r="F689" s="2711">
        <f>SUM(F681:G688)</f>
        <v>80000</v>
      </c>
      <c r="G689" s="2711"/>
      <c r="K689" s="2732" t="s">
        <v>184</v>
      </c>
      <c r="L689" s="2716">
        <f>SUM(L685:L688)</f>
        <v>198800</v>
      </c>
      <c r="M689" s="2716"/>
      <c r="O689" s="1656" t="s">
        <v>2025</v>
      </c>
      <c r="Q689" s="2716">
        <f>Q670+Q676</f>
        <v>613835</v>
      </c>
      <c r="R689" s="2741"/>
      <c r="S689" s="2672"/>
      <c r="T689" s="2672"/>
      <c r="U689" s="2672"/>
      <c r="V689" s="2672"/>
      <c r="W689" s="2672"/>
      <c r="X689" s="356"/>
      <c r="AC689" s="356"/>
      <c r="AH689" s="356"/>
      <c r="AM689" s="356"/>
      <c r="JW689" s="1803"/>
      <c r="KB689" s="1803"/>
      <c r="KG689" s="1803"/>
      <c r="KL689" s="1803"/>
      <c r="KM689" s="1803"/>
      <c r="KN689" s="1803"/>
      <c r="KO689" s="1803"/>
      <c r="KP689" s="1803"/>
      <c r="KQ689" s="1803"/>
      <c r="KR689" s="1803"/>
      <c r="KS689" s="1803"/>
      <c r="KT689" s="1803"/>
      <c r="KU689" s="1803"/>
      <c r="KV689" s="1803"/>
      <c r="KW689" s="1803"/>
      <c r="KX689" s="1803"/>
      <c r="KY689" s="1803"/>
      <c r="KZ689" s="1803"/>
      <c r="LA689" s="1803"/>
      <c r="LB689" s="1803"/>
      <c r="LC689" s="1803"/>
      <c r="LD689" s="1803"/>
      <c r="LE689" s="1803"/>
      <c r="LF689" s="1803"/>
      <c r="LG689" s="1803"/>
      <c r="LN689" s="1656"/>
      <c r="MD689" s="1656"/>
      <c r="ME689" s="1656"/>
    </row>
    <row r="690" spans="1:380" s="358" customFormat="1" ht="6" customHeight="1">
      <c r="B690" s="1656"/>
      <c r="C690" s="2732"/>
      <c r="F690" s="2686"/>
      <c r="G690" s="2686"/>
      <c r="K690" s="2686"/>
      <c r="X690" s="356"/>
      <c r="AC690" s="356"/>
      <c r="AH690" s="356"/>
      <c r="AM690" s="356"/>
      <c r="JW690" s="1803"/>
      <c r="KB690" s="1803"/>
      <c r="KG690" s="1803"/>
      <c r="KL690" s="1803"/>
      <c r="KM690" s="1803"/>
      <c r="KN690" s="1803"/>
      <c r="KO690" s="1803"/>
      <c r="KP690" s="1803"/>
      <c r="KQ690" s="1803"/>
      <c r="KR690" s="1803"/>
      <c r="KS690" s="1803"/>
      <c r="KT690" s="1803"/>
      <c r="KU690" s="1803"/>
      <c r="KV690" s="1803"/>
      <c r="KW690" s="1803"/>
      <c r="KX690" s="1803"/>
      <c r="KY690" s="1803"/>
      <c r="KZ690" s="1803"/>
      <c r="LA690" s="1803"/>
      <c r="LB690" s="1803"/>
      <c r="LC690" s="1803"/>
      <c r="LD690" s="1803"/>
      <c r="LE690" s="1803"/>
      <c r="LF690" s="1803"/>
      <c r="LG690" s="1803"/>
      <c r="LN690" s="1656"/>
      <c r="MD690" s="1656"/>
      <c r="ME690" s="1656"/>
    </row>
    <row r="691" spans="1:380" s="358" customFormat="1" ht="15.6" customHeight="1">
      <c r="B691" s="1656"/>
      <c r="C691" s="2732"/>
      <c r="F691" s="2686"/>
      <c r="G691" s="2686"/>
      <c r="K691" s="2686"/>
      <c r="R691" s="2716"/>
      <c r="X691" s="356"/>
      <c r="AC691" s="356"/>
      <c r="AH691" s="356"/>
      <c r="AM691" s="356"/>
      <c r="JW691" s="1803"/>
      <c r="KB691" s="1803"/>
      <c r="KG691" s="1803"/>
      <c r="KL691" s="1803"/>
      <c r="KM691" s="1803"/>
      <c r="KN691" s="1803"/>
      <c r="KO691" s="1803"/>
      <c r="KP691" s="1803"/>
      <c r="KQ691" s="1803"/>
      <c r="KR691" s="1803"/>
      <c r="KS691" s="1803"/>
      <c r="KT691" s="1803"/>
      <c r="KU691" s="1803"/>
      <c r="KV691" s="1803"/>
      <c r="KW691" s="1803"/>
      <c r="KX691" s="1803"/>
      <c r="KY691" s="1803"/>
      <c r="KZ691" s="1803"/>
      <c r="LA691" s="1803"/>
      <c r="LB691" s="1803"/>
      <c r="LC691" s="1803"/>
      <c r="LD691" s="1803"/>
      <c r="LE691" s="1803"/>
      <c r="LF691" s="1803"/>
      <c r="LG691" s="1803"/>
      <c r="LN691" s="1656"/>
      <c r="MD691" s="1656"/>
      <c r="ME691" s="1656"/>
    </row>
    <row r="692" spans="1:380" s="358" customFormat="1" ht="15" customHeight="1">
      <c r="B692" s="1656"/>
      <c r="C692" s="2732"/>
      <c r="F692" s="2686"/>
      <c r="G692" s="2686"/>
      <c r="K692" s="2686"/>
      <c r="O692" s="1656"/>
      <c r="Q692" s="2716"/>
      <c r="R692" s="2716"/>
      <c r="X692" s="356"/>
      <c r="AC692" s="356"/>
      <c r="AH692" s="356"/>
      <c r="AM692" s="356"/>
      <c r="JW692" s="1803"/>
      <c r="KB692" s="1803"/>
      <c r="KG692" s="1803"/>
      <c r="KL692" s="1803"/>
      <c r="KM692" s="1803"/>
      <c r="KN692" s="1803"/>
      <c r="KO692" s="1803"/>
      <c r="KP692" s="1803"/>
      <c r="KQ692" s="1803"/>
      <c r="KR692" s="1803"/>
      <c r="KS692" s="1803"/>
      <c r="KT692" s="1803"/>
      <c r="KU692" s="1803"/>
      <c r="KV692" s="1803"/>
      <c r="KW692" s="1803"/>
      <c r="KX692" s="1803"/>
      <c r="KY692" s="1803"/>
      <c r="KZ692" s="1803"/>
      <c r="LA692" s="1803"/>
      <c r="LB692" s="1803"/>
      <c r="LC692" s="1803"/>
      <c r="LD692" s="1803"/>
      <c r="LE692" s="1803"/>
      <c r="LF692" s="1803"/>
      <c r="LG692" s="1803"/>
      <c r="LN692" s="1656"/>
      <c r="MD692" s="1656"/>
      <c r="ME692" s="1656"/>
    </row>
    <row r="693" spans="1:380" s="358" customFormat="1" ht="15" customHeight="1">
      <c r="A693" s="360" t="s">
        <v>3288</v>
      </c>
      <c r="B693" s="1656" t="s">
        <v>3750</v>
      </c>
      <c r="C693" s="2732"/>
      <c r="H693" s="2686"/>
      <c r="I693" s="2743" t="s">
        <v>3751</v>
      </c>
      <c r="K693" s="2716">
        <f>'Part V-Revenues &amp; Expenses'!K255</f>
        <v>0</v>
      </c>
      <c r="L693" s="2716"/>
      <c r="M693" s="2733" t="s">
        <v>3778</v>
      </c>
      <c r="N693" s="2696">
        <f>'Part V-Revenues &amp; Expenses'!N255</f>
        <v>0</v>
      </c>
      <c r="O693" s="1656" t="s">
        <v>3753</v>
      </c>
      <c r="Q693" s="2696">
        <f>K693*N693</f>
        <v>0</v>
      </c>
      <c r="R693" s="2716"/>
      <c r="S693" s="2672"/>
      <c r="T693" s="2672"/>
      <c r="U693" s="2672"/>
      <c r="V693" s="2672"/>
      <c r="W693" s="2672"/>
      <c r="X693" s="356"/>
      <c r="AC693" s="356"/>
      <c r="AH693" s="356"/>
      <c r="AM693" s="356"/>
      <c r="JW693" s="1803"/>
      <c r="KB693" s="1803"/>
      <c r="KG693" s="1803"/>
      <c r="KL693" s="1803"/>
      <c r="KM693" s="1803"/>
      <c r="KN693" s="1803"/>
      <c r="KO693" s="1803"/>
      <c r="KP693" s="1803"/>
      <c r="KQ693" s="1803"/>
      <c r="KR693" s="1803"/>
      <c r="KS693" s="1803"/>
      <c r="KT693" s="1803"/>
      <c r="KU693" s="1803"/>
      <c r="KV693" s="1803"/>
      <c r="KW693" s="1803"/>
      <c r="KX693" s="1803"/>
      <c r="KY693" s="1803"/>
      <c r="KZ693" s="1803"/>
      <c r="LA693" s="1803"/>
      <c r="LB693" s="1803"/>
      <c r="LC693" s="1803"/>
      <c r="LD693" s="1803"/>
      <c r="LE693" s="1803"/>
      <c r="LF693" s="1803"/>
      <c r="LG693" s="1803"/>
      <c r="LN693" s="1656"/>
      <c r="MD693" s="1656"/>
      <c r="ME693" s="1656"/>
    </row>
    <row r="694" spans="1:380" s="358" customFormat="1" ht="12" customHeight="1">
      <c r="B694" s="1656"/>
      <c r="C694" s="2732"/>
      <c r="F694" s="2686"/>
      <c r="G694" s="2686"/>
      <c r="K694" s="2686"/>
      <c r="O694" s="1656"/>
      <c r="Q694" s="2716"/>
      <c r="R694" s="2716"/>
      <c r="X694" s="356"/>
      <c r="AC694" s="356"/>
      <c r="AH694" s="356"/>
      <c r="AM694" s="356"/>
      <c r="JW694" s="1803"/>
      <c r="KB694" s="1803"/>
      <c r="KG694" s="1803"/>
      <c r="KL694" s="1803"/>
      <c r="KM694" s="1803"/>
      <c r="KN694" s="1803"/>
      <c r="KO694" s="1803"/>
      <c r="KP694" s="1803"/>
      <c r="KQ694" s="1803"/>
      <c r="KR694" s="1803"/>
      <c r="KS694" s="1803"/>
      <c r="KT694" s="1803"/>
      <c r="KU694" s="1803"/>
      <c r="KV694" s="1803"/>
      <c r="KW694" s="1803"/>
      <c r="KX694" s="1803"/>
      <c r="KY694" s="1803"/>
      <c r="KZ694" s="1803"/>
      <c r="LA694" s="1803"/>
      <c r="LB694" s="1803"/>
      <c r="LC694" s="1803"/>
      <c r="LD694" s="1803"/>
      <c r="LE694" s="1803"/>
      <c r="LF694" s="1803"/>
      <c r="LG694" s="1803"/>
      <c r="LN694" s="1656"/>
      <c r="MD694" s="1656"/>
      <c r="ME694" s="1656"/>
    </row>
    <row r="695" spans="1:380" s="358" customFormat="1" ht="15" customHeight="1">
      <c r="B695" s="358" t="s">
        <v>3779</v>
      </c>
      <c r="C695" s="2732"/>
      <c r="F695" s="2686"/>
      <c r="G695" s="2686"/>
      <c r="J695" s="1803" t="str">
        <f>'Part V-Revenues &amp; Expenses'!J257</f>
        <v>&lt;&lt;Select&gt;&gt;</v>
      </c>
      <c r="K695" s="2743" t="s">
        <v>3781</v>
      </c>
      <c r="L695" s="1803" t="str">
        <f>'Part V-Revenues &amp; Expenses'!L257</f>
        <v>&lt;&lt;Select&gt;&gt;</v>
      </c>
      <c r="M695" s="1803" t="s">
        <v>3782</v>
      </c>
      <c r="N695" s="2696">
        <f>'Part V-Revenues &amp; Expenses'!N257</f>
        <v>0</v>
      </c>
      <c r="O695" s="358" t="s">
        <v>3780</v>
      </c>
      <c r="Q695" s="2696">
        <f>'Part V-Revenues &amp; Expenses'!Q257</f>
        <v>0</v>
      </c>
      <c r="R695" s="2716"/>
      <c r="S695" s="2672"/>
      <c r="T695" s="2672"/>
      <c r="U695" s="2672"/>
      <c r="V695" s="2672"/>
      <c r="W695" s="2672"/>
      <c r="X695" s="356"/>
      <c r="AC695" s="356"/>
      <c r="AH695" s="356"/>
      <c r="AM695" s="356"/>
      <c r="JW695" s="1803"/>
      <c r="KB695" s="1803"/>
      <c r="KG695" s="1803"/>
      <c r="KL695" s="1803"/>
      <c r="KM695" s="1803"/>
      <c r="KN695" s="1803"/>
      <c r="KO695" s="1803"/>
      <c r="KP695" s="1803"/>
      <c r="KQ695" s="1803"/>
      <c r="KR695" s="1803"/>
      <c r="KS695" s="1803"/>
      <c r="KT695" s="1803"/>
      <c r="KU695" s="1803"/>
      <c r="KV695" s="1803"/>
      <c r="KW695" s="1803"/>
      <c r="KX695" s="1803"/>
      <c r="KY695" s="1803"/>
      <c r="KZ695" s="1803"/>
      <c r="LA695" s="1803"/>
      <c r="LB695" s="1803"/>
      <c r="LC695" s="1803"/>
      <c r="LD695" s="1803"/>
      <c r="LE695" s="1803"/>
      <c r="LF695" s="1803"/>
      <c r="LG695" s="1803"/>
      <c r="LN695" s="1656"/>
      <c r="MD695" s="1656"/>
      <c r="ME695" s="1656"/>
      <c r="NP695" s="358" t="s">
        <v>4348</v>
      </c>
    </row>
    <row r="696" spans="1:380" s="358" customFormat="1" ht="30.75" customHeight="1">
      <c r="B696" s="1656"/>
      <c r="C696" s="2732"/>
      <c r="F696" s="2686"/>
      <c r="G696" s="2686"/>
      <c r="K696" s="2686"/>
      <c r="O696" s="1656"/>
      <c r="Q696" s="2716"/>
      <c r="R696" s="2716"/>
      <c r="X696" s="356"/>
      <c r="AC696" s="356"/>
      <c r="AH696" s="356"/>
      <c r="AM696" s="356"/>
      <c r="JW696" s="1803"/>
      <c r="KB696" s="1803"/>
      <c r="KG696" s="1803"/>
      <c r="KL696" s="1803"/>
      <c r="KM696" s="1803"/>
      <c r="KN696" s="1803"/>
      <c r="KO696" s="1803"/>
      <c r="KP696" s="1803"/>
      <c r="KQ696" s="1803"/>
      <c r="KR696" s="1803"/>
      <c r="KS696" s="1803"/>
      <c r="KT696" s="1803"/>
      <c r="KU696" s="1803"/>
      <c r="KV696" s="1803"/>
      <c r="KW696" s="1803"/>
      <c r="KX696" s="1803"/>
      <c r="KY696" s="1803"/>
      <c r="KZ696" s="1803"/>
      <c r="LA696" s="1803"/>
      <c r="LB696" s="1803"/>
      <c r="LC696" s="1803"/>
      <c r="LD696" s="1803"/>
      <c r="LE696" s="1803"/>
      <c r="LF696" s="1803"/>
      <c r="LG696" s="1803"/>
      <c r="LN696" s="1656"/>
      <c r="MD696" s="1656"/>
      <c r="ME696" s="1656"/>
    </row>
    <row r="697" spans="1:380" ht="12" customHeight="1">
      <c r="A697" s="360" t="s">
        <v>3749</v>
      </c>
      <c r="B697" s="360" t="s">
        <v>529</v>
      </c>
      <c r="N697" s="360" t="s">
        <v>4544</v>
      </c>
      <c r="O697" s="360"/>
      <c r="JW697" s="1657"/>
      <c r="KB697" s="1657"/>
      <c r="KG697" s="1657"/>
      <c r="KL697" s="1657"/>
      <c r="KM697" s="1657"/>
      <c r="KN697" s="1657"/>
      <c r="KO697" s="1657"/>
      <c r="KP697" s="1657"/>
      <c r="KQ697" s="1657"/>
      <c r="KR697" s="1657"/>
      <c r="KS697" s="1657"/>
      <c r="KT697" s="1657"/>
      <c r="KU697" s="1657"/>
      <c r="KV697" s="1657"/>
      <c r="KW697" s="1657"/>
      <c r="KX697" s="1657"/>
      <c r="KY697" s="1657"/>
      <c r="KZ697" s="1657"/>
      <c r="LA697" s="1657"/>
      <c r="LB697" s="1657"/>
      <c r="LC697" s="1657"/>
      <c r="LD697" s="1657"/>
      <c r="LE697" s="1657"/>
      <c r="LF697" s="1657"/>
      <c r="LG697" s="1657"/>
      <c r="LN697" s="360"/>
      <c r="MD697" s="360"/>
      <c r="ME697" s="360"/>
      <c r="NP697" s="358"/>
    </row>
    <row r="698" spans="1:380" ht="409.5" customHeight="1">
      <c r="A698" s="2516"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2516"/>
      <c r="C698" s="2516"/>
      <c r="D698" s="2516"/>
      <c r="E698" s="2516"/>
      <c r="F698" s="2516"/>
      <c r="G698" s="2516"/>
      <c r="H698" s="2516"/>
      <c r="I698" s="2516"/>
      <c r="J698" s="2516"/>
      <c r="K698" s="2516"/>
      <c r="L698" s="2516"/>
      <c r="M698" s="2516"/>
      <c r="N698" s="2516"/>
      <c r="O698" s="2516"/>
      <c r="P698" s="2516"/>
      <c r="Q698" s="2516"/>
      <c r="R698" s="2744" t="s">
        <v>3287</v>
      </c>
      <c r="S698" s="2744"/>
      <c r="T698" s="2744"/>
      <c r="U698" s="2744"/>
      <c r="JW698" s="1657"/>
      <c r="KB698" s="1657"/>
      <c r="KG698" s="1657"/>
      <c r="KL698" s="1657"/>
      <c r="KM698" s="1657"/>
      <c r="KN698" s="1657"/>
      <c r="KO698" s="1657"/>
      <c r="KP698" s="1657"/>
      <c r="KQ698" s="1657"/>
      <c r="KR698" s="1657"/>
      <c r="KS698" s="1657"/>
      <c r="KT698" s="1657"/>
      <c r="KU698" s="1657"/>
      <c r="KV698" s="1657"/>
      <c r="KW698" s="1657"/>
      <c r="KX698" s="1657"/>
      <c r="KY698" s="1657"/>
      <c r="KZ698" s="1657"/>
      <c r="LA698" s="1657"/>
      <c r="LB698" s="1657"/>
      <c r="LC698" s="1657"/>
      <c r="LD698" s="1657"/>
      <c r="LE698" s="1657"/>
      <c r="LF698" s="1657"/>
      <c r="LG698" s="1657"/>
      <c r="LN698" s="360"/>
      <c r="MD698" s="360"/>
      <c r="ME698" s="360"/>
      <c r="NP698" s="358"/>
    </row>
    <row r="702" spans="1:380">
      <c r="A702" s="1656" t="str">
        <f>CONCATENATE("PART SIX - OPERATING PRO FORMA","  -  ",'Part I-Project Identification'!$O$7," ",'Part I-Project Identification'!$F$26,", ",'Part I-Project Identification'!F644,", ",'Part I-Project Identification'!J644," County")</f>
        <v>PART SIX - OPERATING PRO FORMA  -  2024-0 Redland Trace, ,  County</v>
      </c>
    </row>
    <row r="703" spans="1:380">
      <c r="A703" s="360"/>
      <c r="B703" s="360"/>
      <c r="C703" s="360"/>
      <c r="D703" s="360"/>
      <c r="E703" s="360"/>
      <c r="F703" s="360"/>
      <c r="G703" s="360"/>
      <c r="H703" s="360"/>
      <c r="I703" s="360"/>
      <c r="J703" s="360"/>
      <c r="K703" s="360"/>
    </row>
    <row r="704" spans="1:380" ht="12.95" customHeight="1">
      <c r="A704" s="360" t="s">
        <v>85</v>
      </c>
      <c r="C704" s="2745" t="str">
        <f>'Part I-Project Identification'!$A$6</f>
        <v>2024 May 7</v>
      </c>
      <c r="D704" s="360" t="s">
        <v>75</v>
      </c>
      <c r="E704" s="2645"/>
      <c r="F704" s="2503" t="s">
        <v>5098</v>
      </c>
    </row>
    <row r="705" spans="1:11">
      <c r="C705" s="1545"/>
    </row>
    <row r="706" spans="1:11" ht="12.6" customHeight="1">
      <c r="A706" s="356" t="s">
        <v>2026</v>
      </c>
      <c r="B706" s="2746">
        <f>'DCA Underwriting Assumptions'!$Q$114</f>
        <v>0.02</v>
      </c>
      <c r="C706" s="1545"/>
      <c r="D706" s="2672" t="s">
        <v>5099</v>
      </c>
      <c r="E706" s="2672"/>
      <c r="F706" s="2672"/>
      <c r="G706" s="2747">
        <f>'Part VI-Pro Forma'!G6</f>
        <v>5000</v>
      </c>
      <c r="H706" s="2709" t="s">
        <v>1763</v>
      </c>
      <c r="K706" s="2748" t="e">
        <f>IF(($B$15+$B$16+$B$17+$B$18)=0,"",B731/($B$15+$B$16+$B$17+$B$18))</f>
        <v>#VALUE!</v>
      </c>
    </row>
    <row r="707" spans="1:11">
      <c r="A707" s="356" t="s">
        <v>2027</v>
      </c>
      <c r="B707" s="2746">
        <f>'DCA Underwriting Assumptions'!$Q$117</f>
        <v>0.03</v>
      </c>
      <c r="C707" s="1545"/>
      <c r="D707" s="2672"/>
      <c r="E707" s="2672"/>
      <c r="F707" s="2672"/>
      <c r="G707" s="2749">
        <f>IF(OR('Part II-Sources of Funds'!E623="Yes",'Part II-Sources of Funds'!I623&gt;0),'DCA Underwriting Assumptions'!$Q$79,0)</f>
        <v>0</v>
      </c>
    </row>
    <row r="708" spans="1:11">
      <c r="A708" s="356" t="s">
        <v>2029</v>
      </c>
      <c r="B708" s="2746">
        <f>'DCA Underwriting Assumptions'!$Q$118</f>
        <v>0.03</v>
      </c>
      <c r="C708" s="1545"/>
      <c r="D708" s="358" t="s">
        <v>258</v>
      </c>
      <c r="G708" s="2750"/>
      <c r="H708" s="2709" t="s">
        <v>2185</v>
      </c>
      <c r="K708" s="2748" t="e">
        <f>IF(($B$15+$B$16+$B$17+$B$18)=0,"",-B722/($B$15+$B$16+$B$17+$B$18))</f>
        <v>#VALUE!</v>
      </c>
    </row>
    <row r="709" spans="1:11">
      <c r="A709" s="356" t="s">
        <v>2028</v>
      </c>
      <c r="B709" s="2746">
        <f>'Part VI-Pro Forma'!B9</f>
        <v>7.0000000000000007E-2</v>
      </c>
      <c r="C709" s="2500" t="str">
        <f>IF(B709&lt;0.07, "Must be &gt;= 7%!","")</f>
        <v/>
      </c>
      <c r="D709" s="358" t="s">
        <v>2301</v>
      </c>
      <c r="G709" s="2751" t="str">
        <f>'Part VI-Pro Forma'!G9</f>
        <v>No</v>
      </c>
      <c r="H709" s="2752" t="s">
        <v>1353</v>
      </c>
      <c r="K709" s="2753">
        <f>'Part VI-Pro Forma'!K9</f>
        <v>0</v>
      </c>
    </row>
    <row r="710" spans="1:11">
      <c r="A710" s="356" t="s">
        <v>1334</v>
      </c>
      <c r="B710" s="2746">
        <v>0.02</v>
      </c>
      <c r="D710" s="358" t="s">
        <v>1595</v>
      </c>
      <c r="G710" s="2751" t="str">
        <f>'Part VI-Pro Forma'!G10</f>
        <v>Yes</v>
      </c>
      <c r="H710" s="2752" t="s">
        <v>2168</v>
      </c>
      <c r="K710" s="2754">
        <f>'Part VI-Pro Forma'!K10</f>
        <v>0.04</v>
      </c>
    </row>
    <row r="712" spans="1:11">
      <c r="A712" s="360" t="s">
        <v>86</v>
      </c>
      <c r="D712" s="2728"/>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5">
        <f>'Part V-Revenues &amp; Expenses'!$M$50</f>
        <v>1238640</v>
      </c>
      <c r="C715" s="2755" t="e">
        <f t="shared" ref="C715:K715" si="376">$B$15*(1+$B$6)^(C714-1)</f>
        <v>#VALUE!</v>
      </c>
      <c r="D715" s="2755" t="e">
        <f t="shared" si="376"/>
        <v>#VALUE!</v>
      </c>
      <c r="E715" s="2755" t="e">
        <f t="shared" si="376"/>
        <v>#VALUE!</v>
      </c>
      <c r="F715" s="2755" t="e">
        <f t="shared" si="376"/>
        <v>#VALUE!</v>
      </c>
      <c r="G715" s="2755" t="e">
        <f t="shared" si="376"/>
        <v>#VALUE!</v>
      </c>
      <c r="H715" s="2755" t="e">
        <f t="shared" si="376"/>
        <v>#VALUE!</v>
      </c>
      <c r="I715" s="2755" t="e">
        <f t="shared" si="376"/>
        <v>#VALUE!</v>
      </c>
      <c r="J715" s="2755" t="e">
        <f t="shared" si="376"/>
        <v>#VALUE!</v>
      </c>
      <c r="K715" s="2755" t="e">
        <f t="shared" si="376"/>
        <v>#VALUE!</v>
      </c>
    </row>
    <row r="716" spans="1:11">
      <c r="A716" s="356" t="s">
        <v>951</v>
      </c>
      <c r="B716" s="2755">
        <f>MIN(B715*B710,'Part V-Revenues &amp; Expenses'!$H$183)</f>
        <v>9600</v>
      </c>
      <c r="C716" s="2755" t="e">
        <f t="shared" ref="C716:K716" si="377">$B$16*(1+$B$6)^(C714-1)</f>
        <v>#VALUE!</v>
      </c>
      <c r="D716" s="2755" t="e">
        <f t="shared" si="377"/>
        <v>#VALUE!</v>
      </c>
      <c r="E716" s="2755" t="e">
        <f t="shared" si="377"/>
        <v>#VALUE!</v>
      </c>
      <c r="F716" s="2755" t="e">
        <f t="shared" si="377"/>
        <v>#VALUE!</v>
      </c>
      <c r="G716" s="2755" t="e">
        <f t="shared" si="377"/>
        <v>#VALUE!</v>
      </c>
      <c r="H716" s="2755" t="e">
        <f t="shared" si="377"/>
        <v>#VALUE!</v>
      </c>
      <c r="I716" s="2755" t="e">
        <f t="shared" si="377"/>
        <v>#VALUE!</v>
      </c>
      <c r="J716" s="2755" t="e">
        <f t="shared" si="377"/>
        <v>#VALUE!</v>
      </c>
      <c r="K716" s="2755" t="e">
        <f t="shared" si="377"/>
        <v>#VALUE!</v>
      </c>
    </row>
    <row r="717" spans="1:11">
      <c r="A717" s="356" t="s">
        <v>2210</v>
      </c>
      <c r="B717" s="2755" t="e">
        <f t="shared" ref="B717:K717" si="378">-(B715+B716)*$B$9</f>
        <v>#VALUE!</v>
      </c>
      <c r="C717" s="2755" t="e">
        <f t="shared" si="378"/>
        <v>#VALUE!</v>
      </c>
      <c r="D717" s="2755" t="e">
        <f t="shared" si="378"/>
        <v>#VALUE!</v>
      </c>
      <c r="E717" s="2755" t="e">
        <f t="shared" si="378"/>
        <v>#VALUE!</v>
      </c>
      <c r="F717" s="2755" t="e">
        <f t="shared" si="378"/>
        <v>#VALUE!</v>
      </c>
      <c r="G717" s="2755" t="e">
        <f t="shared" si="378"/>
        <v>#VALUE!</v>
      </c>
      <c r="H717" s="2755" t="e">
        <f t="shared" si="378"/>
        <v>#VALUE!</v>
      </c>
      <c r="I717" s="2755" t="e">
        <f t="shared" si="378"/>
        <v>#VALUE!</v>
      </c>
      <c r="J717" s="2755" t="e">
        <f t="shared" si="378"/>
        <v>#VALUE!</v>
      </c>
      <c r="K717" s="2755" t="e">
        <f t="shared" si="378"/>
        <v>#VALUE!</v>
      </c>
    </row>
    <row r="718" spans="1:11">
      <c r="A718" s="356" t="s">
        <v>47</v>
      </c>
      <c r="B718" s="2755">
        <f>+'Part V-Revenues &amp; Expenses'!H806</f>
        <v>0</v>
      </c>
      <c r="C718" s="2755">
        <f>+'Part V-Revenues &amp; Expenses'!I806</f>
        <v>0</v>
      </c>
      <c r="D718" s="2755">
        <f>+'Part V-Revenues &amp; Expenses'!J806</f>
        <v>0</v>
      </c>
      <c r="E718" s="2755">
        <f>+'Part V-Revenues &amp; Expenses'!K806</f>
        <v>0</v>
      </c>
      <c r="F718" s="2755">
        <f>+'Part V-Revenues &amp; Expenses'!L806</f>
        <v>0</v>
      </c>
      <c r="G718" s="2755">
        <f>+'Part V-Revenues &amp; Expenses'!M806</f>
        <v>0</v>
      </c>
      <c r="H718" s="2755">
        <f>+'Part V-Revenues &amp; Expenses'!N806</f>
        <v>0</v>
      </c>
      <c r="I718" s="2755">
        <f>+'Part V-Revenues &amp; Expenses'!O806</f>
        <v>0</v>
      </c>
      <c r="J718" s="2755">
        <f>+'Part V-Revenues &amp; Expenses'!P806</f>
        <v>0</v>
      </c>
      <c r="K718" s="2755">
        <f>+'Part V-Revenues &amp; Expenses'!Q806</f>
        <v>0</v>
      </c>
    </row>
    <row r="719" spans="1:11">
      <c r="A719" s="356" t="s">
        <v>48</v>
      </c>
      <c r="B719" s="2755">
        <f>'Part V-Revenues &amp; Expenses'!H810</f>
        <v>0</v>
      </c>
      <c r="C719" s="2755">
        <f>'Part V-Revenues &amp; Expenses'!I810</f>
        <v>0</v>
      </c>
      <c r="D719" s="2755">
        <f>'Part V-Revenues &amp; Expenses'!J810</f>
        <v>0</v>
      </c>
      <c r="E719" s="2755">
        <f>'Part V-Revenues &amp; Expenses'!K810</f>
        <v>0</v>
      </c>
      <c r="F719" s="2755">
        <f>'Part V-Revenues &amp; Expenses'!L810</f>
        <v>0</v>
      </c>
      <c r="G719" s="2755">
        <f>'Part V-Revenues &amp; Expenses'!M810</f>
        <v>0</v>
      </c>
      <c r="H719" s="2755">
        <f>'Part V-Revenues &amp; Expenses'!N810</f>
        <v>0</v>
      </c>
      <c r="I719" s="2755">
        <f>'Part V-Revenues &amp; Expenses'!O810</f>
        <v>0</v>
      </c>
      <c r="J719" s="2755">
        <f>'Part V-Revenues &amp; Expenses'!P810</f>
        <v>0</v>
      </c>
      <c r="K719" s="2755">
        <f>'Part V-Revenues &amp; Expenses'!Q810</f>
        <v>0</v>
      </c>
    </row>
    <row r="720" spans="1:11">
      <c r="A720" s="356" t="s">
        <v>3715</v>
      </c>
      <c r="B720" s="2755" t="e">
        <f>SUM(B715:B719)</f>
        <v>#VALUE!</v>
      </c>
      <c r="C720" s="2755" t="e">
        <f t="shared" ref="C720:K720" si="379">SUM(C715:C719)</f>
        <v>#VALUE!</v>
      </c>
      <c r="D720" s="2755" t="e">
        <f t="shared" si="379"/>
        <v>#VALUE!</v>
      </c>
      <c r="E720" s="2755" t="e">
        <f t="shared" si="379"/>
        <v>#VALUE!</v>
      </c>
      <c r="F720" s="2755" t="e">
        <f t="shared" si="379"/>
        <v>#VALUE!</v>
      </c>
      <c r="G720" s="2755" t="e">
        <f t="shared" si="379"/>
        <v>#VALUE!</v>
      </c>
      <c r="H720" s="2755" t="e">
        <f t="shared" si="379"/>
        <v>#VALUE!</v>
      </c>
      <c r="I720" s="2755" t="e">
        <f t="shared" si="379"/>
        <v>#VALUE!</v>
      </c>
      <c r="J720" s="2755" t="e">
        <f t="shared" si="379"/>
        <v>#VALUE!</v>
      </c>
      <c r="K720" s="2755" t="e">
        <f t="shared" si="379"/>
        <v>#VALUE!</v>
      </c>
    </row>
    <row r="721" spans="1:11">
      <c r="A721" s="356" t="s">
        <v>571</v>
      </c>
      <c r="B721" s="2755">
        <f>-('Part V-Revenues &amp; Expenses'!$Q$232-'Part V-Revenues &amp; Expenses'!$Q$224)</f>
        <v>-543400</v>
      </c>
      <c r="C721" s="2755" t="e">
        <f t="shared" ref="C721:K721" si="380">$B$21*(1+$B$7)^(C714-1)</f>
        <v>#VALUE!</v>
      </c>
      <c r="D721" s="2755" t="e">
        <f t="shared" si="380"/>
        <v>#VALUE!</v>
      </c>
      <c r="E721" s="2755" t="e">
        <f t="shared" si="380"/>
        <v>#VALUE!</v>
      </c>
      <c r="F721" s="2755" t="e">
        <f t="shared" si="380"/>
        <v>#VALUE!</v>
      </c>
      <c r="G721" s="2755" t="e">
        <f t="shared" si="380"/>
        <v>#VALUE!</v>
      </c>
      <c r="H721" s="2755" t="e">
        <f t="shared" si="380"/>
        <v>#VALUE!</v>
      </c>
      <c r="I721" s="2755" t="e">
        <f t="shared" si="380"/>
        <v>#VALUE!</v>
      </c>
      <c r="J721" s="2755" t="e">
        <f t="shared" si="380"/>
        <v>#VALUE!</v>
      </c>
      <c r="K721" s="2755" t="e">
        <f t="shared" si="380"/>
        <v>#VALUE!</v>
      </c>
    </row>
    <row r="722" spans="1:11">
      <c r="A722" s="356" t="s">
        <v>1049</v>
      </c>
      <c r="B722" s="2755" t="e">
        <f>IF(AND('Part VI-Pro Forma'!$G$9="Yes",'Part VI-Pro Forma'!$G$10="Yes"),"Choose One!",IF('Part VI-Pro Forma'!$G$9="Yes",ROUND((-$K$9*(1+'Part VI-Pro Forma'!$B$7)^('Part VI-Pro Forma'!B631-1)),),IF('Part VI-Pro Forma'!$G$10="Yes",ROUND((-(SUM(B715:B718)*'Part VI-Pro Forma'!$K$10)),),"Choose mgt fee")))</f>
        <v>#VALUE!</v>
      </c>
      <c r="C722" s="2755" t="e">
        <f>IF(AND('Part VI-Pro Forma'!$G$9="Yes",'Part VI-Pro Forma'!$G$10="Yes"),"Choose One!",IF('Part VI-Pro Forma'!$G$9="Yes",ROUND((-$K$9*(1+'Part VI-Pro Forma'!$B$7)^('Part VI-Pro Forma'!C631-1)),),IF('Part VI-Pro Forma'!$G$10="Yes",ROUND((-(SUM(C715:C718)*'Part VI-Pro Forma'!$K$10)),),"Choose mgt fee")))</f>
        <v>#VALUE!</v>
      </c>
      <c r="D722" s="2755" t="e">
        <f>IF(AND('Part VI-Pro Forma'!$G$9="Yes",'Part VI-Pro Forma'!$G$10="Yes"),"Choose One!",IF('Part VI-Pro Forma'!$G$9="Yes",ROUND((-$K$9*(1+'Part VI-Pro Forma'!$B$7)^('Part VI-Pro Forma'!D631-1)),),IF('Part VI-Pro Forma'!$G$10="Yes",ROUND((-(SUM(D715:D718)*'Part VI-Pro Forma'!$K$10)),),"Choose mgt fee")))</f>
        <v>#VALUE!</v>
      </c>
      <c r="E722" s="2755" t="e">
        <f>IF(AND('Part VI-Pro Forma'!$G$9="Yes",'Part VI-Pro Forma'!$G$10="Yes"),"Choose One!",IF('Part VI-Pro Forma'!$G$9="Yes",ROUND((-$K$9*(1+'Part VI-Pro Forma'!$B$7)^('Part VI-Pro Forma'!E631-1)),),IF('Part VI-Pro Forma'!$G$10="Yes",ROUND((-(SUM(E715:E718)*'Part VI-Pro Forma'!$K$10)),),"Choose mgt fee")))</f>
        <v>#VALUE!</v>
      </c>
      <c r="F722" s="2755" t="e">
        <f>IF(AND('Part VI-Pro Forma'!$G$9="Yes",'Part VI-Pro Forma'!$G$10="Yes"),"Choose One!",IF('Part VI-Pro Forma'!$G$9="Yes",ROUND((-$K$9*(1+'Part VI-Pro Forma'!$B$7)^('Part VI-Pro Forma'!F631-1)),),IF('Part VI-Pro Forma'!$G$10="Yes",ROUND((-(SUM(F715:F718)*'Part VI-Pro Forma'!$K$10)),),"Choose mgt fee")))</f>
        <v>#VALUE!</v>
      </c>
      <c r="G722" s="2755" t="e">
        <f>IF(AND('Part VI-Pro Forma'!$G$9="Yes",'Part VI-Pro Forma'!$G$10="Yes"),"Choose One!",IF('Part VI-Pro Forma'!$G$9="Yes",ROUND((-$K$9*(1+'Part VI-Pro Forma'!$B$7)^('Part VI-Pro Forma'!G631-1)),),IF('Part VI-Pro Forma'!$G$10="Yes",ROUND((-(SUM(G715:G718)*'Part VI-Pro Forma'!$K$10)),),"Choose mgt fee")))</f>
        <v>#VALUE!</v>
      </c>
      <c r="H722" s="2755" t="e">
        <f>IF(AND('Part VI-Pro Forma'!$G$9="Yes",'Part VI-Pro Forma'!$G$10="Yes"),"Choose One!",IF('Part VI-Pro Forma'!$G$9="Yes",ROUND((-$K$9*(1+'Part VI-Pro Forma'!$B$7)^('Part VI-Pro Forma'!H631-1)),),IF('Part VI-Pro Forma'!$G$10="Yes",ROUND((-(SUM(H715:H718)*'Part VI-Pro Forma'!$K$10)),),"Choose mgt fee")))</f>
        <v>#VALUE!</v>
      </c>
      <c r="I722" s="2755" t="e">
        <f>IF(AND('Part VI-Pro Forma'!$G$9="Yes",'Part VI-Pro Forma'!$G$10="Yes"),"Choose One!",IF('Part VI-Pro Forma'!$G$9="Yes",ROUND((-$K$9*(1+'Part VI-Pro Forma'!$B$7)^('Part VI-Pro Forma'!I631-1)),),IF('Part VI-Pro Forma'!$G$10="Yes",ROUND((-(SUM(I715:I718)*'Part VI-Pro Forma'!$K$10)),),"Choose mgt fee")))</f>
        <v>#VALUE!</v>
      </c>
      <c r="J722" s="2755" t="e">
        <f>IF(AND('Part VI-Pro Forma'!$G$9="Yes",'Part VI-Pro Forma'!$G$10="Yes"),"Choose One!",IF('Part VI-Pro Forma'!$G$9="Yes",ROUND((-$K$9*(1+'Part VI-Pro Forma'!$B$7)^('Part VI-Pro Forma'!J631-1)),),IF('Part VI-Pro Forma'!$G$10="Yes",ROUND((-(SUM(J715:J718)*'Part VI-Pro Forma'!$K$10)),),"Choose mgt fee")))</f>
        <v>#VALUE!</v>
      </c>
      <c r="K722" s="2755" t="e">
        <f>IF(AND('Part VI-Pro Forma'!$G$9="Yes",'Part VI-Pro Forma'!$G$10="Yes"),"Choose One!",IF('Part VI-Pro Forma'!$G$9="Yes",ROUND((-$K$9*(1+'Part VI-Pro Forma'!$B$7)^('Part VI-Pro Forma'!K631-1)),),IF('Part VI-Pro Forma'!$G$10="Yes",ROUND((-(SUM(K715:K718)*'Part VI-Pro Forma'!$K$10)),),"Choose mgt fee")))</f>
        <v>#VALUE!</v>
      </c>
    </row>
    <row r="723" spans="1:11">
      <c r="A723" s="356" t="s">
        <v>1127</v>
      </c>
      <c r="B723" s="2755">
        <f>-('Part V-Revenues &amp; Expenses'!$Q$238)</f>
        <v>-24000</v>
      </c>
      <c r="C723" s="2755" t="e">
        <f t="shared" ref="C723:K723" si="381">$B$23*(1+$B$8)^(C714-1)</f>
        <v>#VALUE!</v>
      </c>
      <c r="D723" s="2755" t="e">
        <f t="shared" si="381"/>
        <v>#VALUE!</v>
      </c>
      <c r="E723" s="2755" t="e">
        <f t="shared" si="381"/>
        <v>#VALUE!</v>
      </c>
      <c r="F723" s="2755" t="e">
        <f t="shared" si="381"/>
        <v>#VALUE!</v>
      </c>
      <c r="G723" s="2755" t="e">
        <f t="shared" si="381"/>
        <v>#VALUE!</v>
      </c>
      <c r="H723" s="2755" t="e">
        <f t="shared" si="381"/>
        <v>#VALUE!</v>
      </c>
      <c r="I723" s="2755" t="e">
        <f t="shared" si="381"/>
        <v>#VALUE!</v>
      </c>
      <c r="J723" s="2755" t="e">
        <f t="shared" si="381"/>
        <v>#VALUE!</v>
      </c>
      <c r="K723" s="2755" t="e">
        <f t="shared" si="381"/>
        <v>#VALUE!</v>
      </c>
    </row>
    <row r="724" spans="1:11">
      <c r="A724" s="356" t="s">
        <v>3714</v>
      </c>
      <c r="B724" s="2755">
        <f>'Part VI-Pro Forma'!B24</f>
        <v>0</v>
      </c>
      <c r="C724" s="2755">
        <f>'Part VI-Pro Forma'!C24</f>
        <v>0</v>
      </c>
      <c r="D724" s="2755">
        <f>'Part VI-Pro Forma'!D24</f>
        <v>0</v>
      </c>
      <c r="E724" s="2755">
        <f>'Part VI-Pro Forma'!E24</f>
        <v>0</v>
      </c>
      <c r="F724" s="2755">
        <f>'Part VI-Pro Forma'!F24</f>
        <v>0</v>
      </c>
      <c r="G724" s="2755">
        <f>'Part VI-Pro Forma'!G24</f>
        <v>0</v>
      </c>
      <c r="H724" s="2755">
        <f>'Part VI-Pro Forma'!H24</f>
        <v>0</v>
      </c>
      <c r="I724" s="2755">
        <f>'Part VI-Pro Forma'!I24</f>
        <v>0</v>
      </c>
      <c r="J724" s="2755">
        <f>'Part VI-Pro Forma'!J24</f>
        <v>0</v>
      </c>
      <c r="K724" s="2755">
        <f>'Part VI-Pro Forma'!K24</f>
        <v>0</v>
      </c>
    </row>
    <row r="725" spans="1:11">
      <c r="A725" s="356" t="s">
        <v>1128</v>
      </c>
      <c r="B725" s="2755" t="e">
        <f>SUM(B720:B724)</f>
        <v>#VALUE!</v>
      </c>
      <c r="C725" s="2755" t="e">
        <f t="shared" ref="C725:J725" si="382">SUM(C720:C724)</f>
        <v>#VALUE!</v>
      </c>
      <c r="D725" s="2755" t="e">
        <f t="shared" si="382"/>
        <v>#VALUE!</v>
      </c>
      <c r="E725" s="2755" t="e">
        <f t="shared" si="382"/>
        <v>#VALUE!</v>
      </c>
      <c r="F725" s="2755" t="e">
        <f t="shared" si="382"/>
        <v>#VALUE!</v>
      </c>
      <c r="G725" s="2755" t="e">
        <f t="shared" si="382"/>
        <v>#VALUE!</v>
      </c>
      <c r="H725" s="2755" t="e">
        <f t="shared" si="382"/>
        <v>#VALUE!</v>
      </c>
      <c r="I725" s="2755" t="e">
        <f t="shared" si="382"/>
        <v>#VALUE!</v>
      </c>
      <c r="J725" s="2755" t="e">
        <f t="shared" si="382"/>
        <v>#VALUE!</v>
      </c>
      <c r="K725" s="2755" t="e">
        <f>SUM(K720:K724)</f>
        <v>#VALUE!</v>
      </c>
    </row>
    <row r="726" spans="1:11">
      <c r="A726" s="356" t="s">
        <v>1484</v>
      </c>
      <c r="B726" s="2755">
        <f>'Part VI-Pro Forma'!B26</f>
        <v>-406951.82316822727</v>
      </c>
      <c r="C726" s="2755">
        <f>'Part VI-Pro Forma'!C26</f>
        <v>-406951.82316822727</v>
      </c>
      <c r="D726" s="2755">
        <f>'Part VI-Pro Forma'!D26</f>
        <v>-406951.82316822727</v>
      </c>
      <c r="E726" s="2755">
        <f>'Part VI-Pro Forma'!E26</f>
        <v>-406951.82316822727</v>
      </c>
      <c r="F726" s="2755">
        <f>'Part VI-Pro Forma'!F26</f>
        <v>-406951.82316822727</v>
      </c>
      <c r="G726" s="2755">
        <f>'Part VI-Pro Forma'!G26</f>
        <v>-406951.82316822727</v>
      </c>
      <c r="H726" s="2755">
        <f>'Part VI-Pro Forma'!H26</f>
        <v>-406951.82316822727</v>
      </c>
      <c r="I726" s="2755">
        <f>'Part VI-Pro Forma'!I26</f>
        <v>-406951.82316822727</v>
      </c>
      <c r="J726" s="2755">
        <f>'Part VI-Pro Forma'!J26</f>
        <v>-406951.82316822727</v>
      </c>
      <c r="K726" s="2755">
        <f>'Part VI-Pro Forma'!K26</f>
        <v>-406951.82316822727</v>
      </c>
    </row>
    <row r="727" spans="1:11">
      <c r="A727" s="356" t="s">
        <v>1485</v>
      </c>
      <c r="B727" s="2755">
        <f>'Part VI-Pro Forma'!B27</f>
        <v>0</v>
      </c>
      <c r="C727" s="2755">
        <f>'Part VI-Pro Forma'!C27</f>
        <v>0</v>
      </c>
      <c r="D727" s="2755">
        <f>'Part VI-Pro Forma'!D27</f>
        <v>-138939</v>
      </c>
      <c r="E727" s="2755">
        <f>'Part VI-Pro Forma'!E27</f>
        <v>-75262.761177887995</v>
      </c>
      <c r="F727" s="2755">
        <f>'Part VI-Pro Forma'!F27</f>
        <v>-77788.967902445685</v>
      </c>
      <c r="G727" s="2755">
        <f>'Part VI-Pro Forma'!G27</f>
        <v>-80272.696766524779</v>
      </c>
      <c r="H727" s="2755">
        <f>'Part VI-Pro Forma'!H27</f>
        <v>-82710.308153065984</v>
      </c>
      <c r="I727" s="2755">
        <f>'Part VI-Pro Forma'!I27</f>
        <v>-85098.005950874634</v>
      </c>
      <c r="J727" s="2755">
        <f>'Part VI-Pro Forma'!J27</f>
        <v>-87431.831913681759</v>
      </c>
      <c r="K727" s="2755">
        <f>'Part VI-Pro Forma'!K27</f>
        <v>-89707.659831058598</v>
      </c>
    </row>
    <row r="728" spans="1:11">
      <c r="A728" s="356" t="s">
        <v>1486</v>
      </c>
      <c r="B728" s="2755">
        <f>'Part VI-Pro Forma'!B28</f>
        <v>0</v>
      </c>
      <c r="C728" s="2755">
        <f>'Part VI-Pro Forma'!C28</f>
        <v>0</v>
      </c>
      <c r="D728" s="2755">
        <f>'Part VI-Pro Forma'!D28</f>
        <v>0</v>
      </c>
      <c r="E728" s="2755">
        <f>'Part VI-Pro Forma'!E28</f>
        <v>0</v>
      </c>
      <c r="F728" s="2755">
        <f>'Part VI-Pro Forma'!F28</f>
        <v>0</v>
      </c>
      <c r="G728" s="2755">
        <f>'Part VI-Pro Forma'!G28</f>
        <v>0</v>
      </c>
      <c r="H728" s="2755">
        <f>'Part VI-Pro Forma'!H28</f>
        <v>0</v>
      </c>
      <c r="I728" s="2755">
        <f>'Part VI-Pro Forma'!I28</f>
        <v>0</v>
      </c>
      <c r="J728" s="2755">
        <f>'Part VI-Pro Forma'!J28</f>
        <v>0</v>
      </c>
      <c r="K728" s="2755">
        <f>'Part VI-Pro Forma'!K28</f>
        <v>0</v>
      </c>
    </row>
    <row r="729" spans="1:11">
      <c r="A729" s="356" t="s">
        <v>3202</v>
      </c>
      <c r="B729" s="2755">
        <f>'Part VI-Pro Forma'!B30</f>
        <v>0</v>
      </c>
      <c r="C729" s="2755">
        <f>'Part VI-Pro Forma'!C29</f>
        <v>0</v>
      </c>
      <c r="D729" s="2755">
        <f>'Part VI-Pro Forma'!D29</f>
        <v>0</v>
      </c>
      <c r="E729" s="2755">
        <f>'Part VI-Pro Forma'!E29</f>
        <v>0</v>
      </c>
      <c r="F729" s="2755">
        <f>'Part VI-Pro Forma'!F29</f>
        <v>0</v>
      </c>
      <c r="G729" s="2755">
        <f>'Part VI-Pro Forma'!G29</f>
        <v>0</v>
      </c>
      <c r="H729" s="2755">
        <f>'Part VI-Pro Forma'!H29</f>
        <v>0</v>
      </c>
      <c r="I729" s="2755">
        <f>'Part VI-Pro Forma'!I29</f>
        <v>0</v>
      </c>
      <c r="J729" s="2755">
        <f>'Part VI-Pro Forma'!J29</f>
        <v>0</v>
      </c>
      <c r="K729" s="2755">
        <f>'Part VI-Pro Forma'!K29</f>
        <v>0</v>
      </c>
    </row>
    <row r="730" spans="1:11">
      <c r="A730" s="356" t="s">
        <v>710</v>
      </c>
      <c r="B730" s="2755"/>
      <c r="C730" s="2755"/>
      <c r="D730" s="2755"/>
      <c r="E730" s="2755"/>
      <c r="F730" s="2755"/>
      <c r="G730" s="2755"/>
      <c r="H730" s="2755"/>
      <c r="I730" s="2755"/>
      <c r="J730" s="2755"/>
      <c r="K730" s="2755"/>
    </row>
    <row r="731" spans="1:11">
      <c r="A731" s="356" t="s">
        <v>1094</v>
      </c>
      <c r="B731" s="2755">
        <f>'Part VI-Pro Forma'!B31</f>
        <v>-5000</v>
      </c>
      <c r="C731" s="2755">
        <f>'Part VI-Pro Forma'!C31</f>
        <v>-5150</v>
      </c>
      <c r="D731" s="2755">
        <f>'Part VI-Pro Forma'!D31</f>
        <v>-5304.5</v>
      </c>
      <c r="E731" s="2755">
        <f>'Part VI-Pro Forma'!E31</f>
        <v>-5463.6350000000002</v>
      </c>
      <c r="F731" s="2755">
        <f>'Part VI-Pro Forma'!F31</f>
        <v>-5627.5440500000004</v>
      </c>
      <c r="G731" s="2755">
        <f>'Part VI-Pro Forma'!G31</f>
        <v>-5796.3703715000001</v>
      </c>
      <c r="H731" s="2755">
        <f>'Part VI-Pro Forma'!H31</f>
        <v>-5970.2614826449999</v>
      </c>
      <c r="I731" s="2755">
        <f>'Part VI-Pro Forma'!I31</f>
        <v>-6149.3693271243501</v>
      </c>
      <c r="J731" s="2755">
        <f>'Part VI-Pro Forma'!J31</f>
        <v>-6333.8504069380806</v>
      </c>
      <c r="K731" s="2755">
        <f>'Part VI-Pro Forma'!K31</f>
        <v>-6523.865919146223</v>
      </c>
    </row>
    <row r="732" spans="1:11">
      <c r="A732" s="356" t="s">
        <v>3275</v>
      </c>
      <c r="B732" s="2755">
        <f>'Part VI-Pro Forma'!B32</f>
        <v>-135076.37683177268</v>
      </c>
      <c r="C732" s="2755">
        <f>'Part VI-Pro Forma'!C32</f>
        <v>-140193.64083177288</v>
      </c>
      <c r="D732" s="2755">
        <f>'Part VI-Pro Forma'!D32</f>
        <v>-6301.9823364544427</v>
      </c>
      <c r="E732" s="2755">
        <f>'Part VI-Pro Forma'!E32</f>
        <v>0</v>
      </c>
      <c r="F732" s="2755">
        <f>'Part VI-Pro Forma'!F32</f>
        <v>0</v>
      </c>
      <c r="G732" s="2755">
        <f>'Part VI-Pro Forma'!G32</f>
        <v>0</v>
      </c>
      <c r="H732" s="2755">
        <f>'Part VI-Pro Forma'!H32</f>
        <v>0</v>
      </c>
      <c r="I732" s="2755">
        <f>'Part VI-Pro Forma'!I32</f>
        <v>0</v>
      </c>
      <c r="J732" s="2755">
        <f>'Part VI-Pro Forma'!J32</f>
        <v>0</v>
      </c>
      <c r="K732" s="2755">
        <f>'Part VI-Pro Forma'!K32</f>
        <v>0</v>
      </c>
    </row>
    <row r="733" spans="1:11">
      <c r="A733" s="356" t="s">
        <v>1095</v>
      </c>
      <c r="B733" s="2755" t="e">
        <f t="shared" ref="B733:K733" si="383">SUM(B725:B732)</f>
        <v>#VALUE!</v>
      </c>
      <c r="C733" s="2755" t="e">
        <f t="shared" si="383"/>
        <v>#VALUE!</v>
      </c>
      <c r="D733" s="2755" t="e">
        <f t="shared" si="383"/>
        <v>#VALUE!</v>
      </c>
      <c r="E733" s="2755" t="e">
        <f t="shared" si="383"/>
        <v>#VALUE!</v>
      </c>
      <c r="F733" s="2755" t="e">
        <f t="shared" si="383"/>
        <v>#VALUE!</v>
      </c>
      <c r="G733" s="2755" t="e">
        <f t="shared" si="383"/>
        <v>#VALUE!</v>
      </c>
      <c r="H733" s="2755" t="e">
        <f t="shared" si="383"/>
        <v>#VALUE!</v>
      </c>
      <c r="I733" s="2755" t="e">
        <f t="shared" si="383"/>
        <v>#VALUE!</v>
      </c>
      <c r="J733" s="2755" t="e">
        <f t="shared" si="383"/>
        <v>#VALUE!</v>
      </c>
      <c r="K733" s="2755" t="e">
        <f t="shared" si="383"/>
        <v>#VALUE!</v>
      </c>
    </row>
    <row r="734" spans="1:11">
      <c r="A734" s="356" t="str">
        <f>IF('Part II-Sources of Funds'!$E$40 = "Neither", "", "DCR Mortgage A")</f>
        <v>DCR Mortgage A</v>
      </c>
      <c r="B734" s="2756" t="e">
        <f t="shared" ref="B734:K734" si="384">IF(B726=0,"",-B725/B726)</f>
        <v>#VALUE!</v>
      </c>
      <c r="C734" s="2756" t="e">
        <f t="shared" si="384"/>
        <v>#VALUE!</v>
      </c>
      <c r="D734" s="2756" t="e">
        <f t="shared" si="384"/>
        <v>#VALUE!</v>
      </c>
      <c r="E734" s="2756" t="e">
        <f t="shared" si="384"/>
        <v>#VALUE!</v>
      </c>
      <c r="F734" s="2756" t="e">
        <f t="shared" si="384"/>
        <v>#VALUE!</v>
      </c>
      <c r="G734" s="2756" t="e">
        <f t="shared" si="384"/>
        <v>#VALUE!</v>
      </c>
      <c r="H734" s="2756" t="e">
        <f t="shared" si="384"/>
        <v>#VALUE!</v>
      </c>
      <c r="I734" s="2756" t="e">
        <f t="shared" si="384"/>
        <v>#VALUE!</v>
      </c>
      <c r="J734" s="2756" t="e">
        <f t="shared" si="384"/>
        <v>#VALUE!</v>
      </c>
      <c r="K734" s="2756" t="e">
        <f t="shared" si="384"/>
        <v>#VALUE!</v>
      </c>
    </row>
    <row r="735" spans="1:11">
      <c r="A735" s="356" t="str">
        <f>IF('Part II-Sources of Funds'!$E$40 = "Neither", "", "DCR Mortgage B")</f>
        <v>DCR Mortgage B</v>
      </c>
      <c r="B735" s="2756" t="str">
        <f t="shared" ref="B735:K735" si="385">IF(B727=0,"",-(B725+B726)/B727)</f>
        <v/>
      </c>
      <c r="C735" s="2756" t="str">
        <f t="shared" si="385"/>
        <v/>
      </c>
      <c r="D735" s="2756" t="e">
        <f t="shared" si="385"/>
        <v>#VALUE!</v>
      </c>
      <c r="E735" s="2756" t="e">
        <f t="shared" si="385"/>
        <v>#VALUE!</v>
      </c>
      <c r="F735" s="2756" t="e">
        <f t="shared" si="385"/>
        <v>#VALUE!</v>
      </c>
      <c r="G735" s="2756" t="e">
        <f t="shared" si="385"/>
        <v>#VALUE!</v>
      </c>
      <c r="H735" s="2756" t="e">
        <f t="shared" si="385"/>
        <v>#VALUE!</v>
      </c>
      <c r="I735" s="2756" t="e">
        <f t="shared" si="385"/>
        <v>#VALUE!</v>
      </c>
      <c r="J735" s="2756" t="e">
        <f t="shared" si="385"/>
        <v>#VALUE!</v>
      </c>
      <c r="K735" s="2756" t="e">
        <f t="shared" si="385"/>
        <v>#VALUE!</v>
      </c>
    </row>
    <row r="736" spans="1:11">
      <c r="A736" s="356" t="str">
        <f>IF('Part II-Sources of Funds'!$E$40 = "Neither", "DCR First Mortgage", "DCR Mortgage C")</f>
        <v>DCR Mortgage C</v>
      </c>
      <c r="B736" s="2756" t="str">
        <f t="shared" ref="B736:K736" si="386">IF(B728=0,"",-(B725+B726+B727)/B728)</f>
        <v/>
      </c>
      <c r="C736" s="2756" t="str">
        <f t="shared" si="386"/>
        <v/>
      </c>
      <c r="D736" s="2756" t="str">
        <f t="shared" si="386"/>
        <v/>
      </c>
      <c r="E736" s="2756" t="str">
        <f t="shared" si="386"/>
        <v/>
      </c>
      <c r="F736" s="2756" t="str">
        <f t="shared" si="386"/>
        <v/>
      </c>
      <c r="G736" s="2756" t="str">
        <f t="shared" si="386"/>
        <v/>
      </c>
      <c r="H736" s="2756" t="str">
        <f t="shared" si="386"/>
        <v/>
      </c>
      <c r="I736" s="2756" t="str">
        <f t="shared" si="386"/>
        <v/>
      </c>
      <c r="J736" s="2756" t="str">
        <f t="shared" si="386"/>
        <v/>
      </c>
      <c r="K736" s="2756" t="str">
        <f t="shared" si="386"/>
        <v/>
      </c>
    </row>
    <row r="737" spans="1:11">
      <c r="A737" s="356" t="s">
        <v>728</v>
      </c>
      <c r="B737" s="2756" t="str">
        <f t="shared" ref="B737:K737" si="387">IF(B729=0,"",-(B725+B726+B727+B728)/B729)</f>
        <v/>
      </c>
      <c r="C737" s="2756" t="str">
        <f t="shared" si="387"/>
        <v/>
      </c>
      <c r="D737" s="2756" t="str">
        <f t="shared" si="387"/>
        <v/>
      </c>
      <c r="E737" s="2756" t="str">
        <f t="shared" si="387"/>
        <v/>
      </c>
      <c r="F737" s="2756" t="str">
        <f t="shared" si="387"/>
        <v/>
      </c>
      <c r="G737" s="2756" t="str">
        <f t="shared" si="387"/>
        <v/>
      </c>
      <c r="H737" s="2756" t="str">
        <f t="shared" si="387"/>
        <v/>
      </c>
      <c r="I737" s="2756" t="str">
        <f t="shared" si="387"/>
        <v/>
      </c>
      <c r="J737" s="2756" t="str">
        <f t="shared" si="387"/>
        <v/>
      </c>
      <c r="K737" s="2756" t="str">
        <f t="shared" si="387"/>
        <v/>
      </c>
    </row>
    <row r="738" spans="1:11">
      <c r="A738" s="356" t="s">
        <v>3129</v>
      </c>
      <c r="B738" s="2756" t="e">
        <f t="shared" ref="B738:K738" si="388">IF(AND(B726=0,B727=0,B728=0,B729=0),"",-B725/(B726+B727+B728+B729))</f>
        <v>#VALUE!</v>
      </c>
      <c r="C738" s="2756" t="e">
        <f t="shared" si="388"/>
        <v>#VALUE!</v>
      </c>
      <c r="D738" s="2756" t="e">
        <f t="shared" si="388"/>
        <v>#VALUE!</v>
      </c>
      <c r="E738" s="2756" t="e">
        <f t="shared" si="388"/>
        <v>#VALUE!</v>
      </c>
      <c r="F738" s="2756" t="e">
        <f t="shared" si="388"/>
        <v>#VALUE!</v>
      </c>
      <c r="G738" s="2756" t="e">
        <f t="shared" si="388"/>
        <v>#VALUE!</v>
      </c>
      <c r="H738" s="2756" t="e">
        <f t="shared" si="388"/>
        <v>#VALUE!</v>
      </c>
      <c r="I738" s="2756" t="e">
        <f t="shared" si="388"/>
        <v>#VALUE!</v>
      </c>
      <c r="J738" s="2756" t="e">
        <f t="shared" si="388"/>
        <v>#VALUE!</v>
      </c>
      <c r="K738" s="2756" t="e">
        <f t="shared" si="388"/>
        <v>#VALUE!</v>
      </c>
    </row>
    <row r="739" spans="1:11">
      <c r="A739" s="356" t="s">
        <v>717</v>
      </c>
      <c r="B739" s="2757" t="e">
        <f t="shared" ref="B739:K739" si="389">IF(OR(B722="Choose mgt fee",B722="Choose One!"),"",(B715+B716+B717+B718+B719) / -(B721+B722+B723))</f>
        <v>#VALUE!</v>
      </c>
      <c r="C739" s="2757" t="e">
        <f t="shared" si="389"/>
        <v>#VALUE!</v>
      </c>
      <c r="D739" s="2757" t="e">
        <f t="shared" si="389"/>
        <v>#VALUE!</v>
      </c>
      <c r="E739" s="2757" t="e">
        <f t="shared" si="389"/>
        <v>#VALUE!</v>
      </c>
      <c r="F739" s="2757" t="e">
        <f t="shared" si="389"/>
        <v>#VALUE!</v>
      </c>
      <c r="G739" s="2757" t="e">
        <f t="shared" si="389"/>
        <v>#VALUE!</v>
      </c>
      <c r="H739" s="2757" t="e">
        <f t="shared" si="389"/>
        <v>#VALUE!</v>
      </c>
      <c r="I739" s="2757" t="e">
        <f t="shared" si="389"/>
        <v>#VALUE!</v>
      </c>
      <c r="J739" s="2757" t="e">
        <f t="shared" si="389"/>
        <v>#VALUE!</v>
      </c>
      <c r="K739" s="2757" t="e">
        <f t="shared" si="389"/>
        <v>#VALUE!</v>
      </c>
    </row>
    <row r="740" spans="1:11">
      <c r="A740" s="356" t="s">
        <v>2399</v>
      </c>
      <c r="B740" s="2755">
        <f>'Part VI-Pro Forma'!B40</f>
        <v>5178155.1926562255</v>
      </c>
      <c r="C740" s="2755">
        <f>'Part VI-Pro Forma'!C40</f>
        <v>5154633.2248975001</v>
      </c>
      <c r="D740" s="2755">
        <f>'Part VI-Pro Forma'!D40</f>
        <v>5129305.3307881393</v>
      </c>
      <c r="E740" s="2755">
        <f>'Part VI-Pro Forma'!E40</f>
        <v>5102032.8582384298</v>
      </c>
      <c r="F740" s="2755">
        <f>'Part VI-Pro Forma'!F40</f>
        <v>5072666.5099836895</v>
      </c>
      <c r="G740" s="2755">
        <f>'Part VI-Pro Forma'!G40</f>
        <v>5041045.5262886165</v>
      </c>
      <c r="H740" s="2755">
        <f>'Part VI-Pro Forma'!H40</f>
        <v>5006996.8049028162</v>
      </c>
      <c r="I740" s="2755">
        <f>'Part VI-Pro Forma'!I40</f>
        <v>4970333.9534498891</v>
      </c>
      <c r="J740" s="2755">
        <f>'Part VI-Pro Forma'!J40</f>
        <v>4930856.2690625992</v>
      </c>
      <c r="K740" s="2755">
        <f>'Part VI-Pro Forma'!K40</f>
        <v>4888347.6396783441</v>
      </c>
    </row>
    <row r="741" spans="1:11">
      <c r="A741" s="356" t="s">
        <v>2400</v>
      </c>
      <c r="B741" s="2755">
        <f>'Part VI-Pro Forma'!B41</f>
        <v>1618897.3019823532</v>
      </c>
      <c r="C741" s="2755">
        <f>'Part VI-Pro Forma'!C41</f>
        <v>1643348.4078766389</v>
      </c>
      <c r="D741" s="2755">
        <f>'Part VI-Pro Forma'!D41</f>
        <v>1528270.6155509066</v>
      </c>
      <c r="E741" s="2755">
        <f>'Part VI-Pro Forma'!E41</f>
        <v>1475570.5815194943</v>
      </c>
      <c r="F741" s="2755">
        <f>'Part VI-Pro Forma'!F41</f>
        <v>1419530.9426132194</v>
      </c>
      <c r="G741" s="2755">
        <f>'Part VI-Pro Forma'!G41</f>
        <v>1360144.0300391878</v>
      </c>
      <c r="H741" s="2755">
        <f>'Part VI-Pro Forma'!H41</f>
        <v>1297405.723922444</v>
      </c>
      <c r="I741" s="2755">
        <f>'Part VI-Pro Forma'!I41</f>
        <v>1231315.6644817789</v>
      </c>
      <c r="J741" s="2755">
        <f>'Part VI-Pro Forma'!J41</f>
        <v>1161877.4720749264</v>
      </c>
      <c r="K741" s="2755">
        <f>'Part VI-Pro Forma'!K41</f>
        <v>1089098.9764365535</v>
      </c>
    </row>
    <row r="742" spans="1:11">
      <c r="A742" s="356" t="s">
        <v>2401</v>
      </c>
      <c r="B742" s="2755" t="str">
        <f>'Part VI-Pro Forma'!B42</f>
        <v/>
      </c>
      <c r="C742" s="2755" t="str">
        <f>'Part VI-Pro Forma'!C42</f>
        <v/>
      </c>
      <c r="D742" s="2755" t="str">
        <f>'Part VI-Pro Forma'!D42</f>
        <v/>
      </c>
      <c r="E742" s="2755" t="str">
        <f>'Part VI-Pro Forma'!E42</f>
        <v/>
      </c>
      <c r="F742" s="2755" t="str">
        <f>'Part VI-Pro Forma'!F42</f>
        <v/>
      </c>
      <c r="G742" s="2755" t="str">
        <f>'Part VI-Pro Forma'!G42</f>
        <v/>
      </c>
      <c r="H742" s="2755" t="str">
        <f>'Part VI-Pro Forma'!H42</f>
        <v/>
      </c>
      <c r="I742" s="2755" t="str">
        <f>'Part VI-Pro Forma'!I42</f>
        <v/>
      </c>
      <c r="J742" s="2755" t="str">
        <f>'Part VI-Pro Forma'!J42</f>
        <v/>
      </c>
      <c r="K742" s="2755" t="str">
        <f>'Part VI-Pro Forma'!K42</f>
        <v/>
      </c>
    </row>
    <row r="743" spans="1:11">
      <c r="A743" s="356" t="s">
        <v>729</v>
      </c>
      <c r="B743" s="2755" t="str">
        <f>'Part VI-Pro Forma'!B43</f>
        <v/>
      </c>
      <c r="C743" s="2755" t="str">
        <f>'Part VI-Pro Forma'!C43</f>
        <v/>
      </c>
      <c r="D743" s="2755" t="str">
        <f>'Part VI-Pro Forma'!D43</f>
        <v/>
      </c>
      <c r="E743" s="2755" t="str">
        <f>'Part VI-Pro Forma'!E43</f>
        <v/>
      </c>
      <c r="F743" s="2755" t="str">
        <f>'Part VI-Pro Forma'!F43</f>
        <v/>
      </c>
      <c r="G743" s="2755" t="str">
        <f>'Part VI-Pro Forma'!G43</f>
        <v/>
      </c>
      <c r="H743" s="2755" t="str">
        <f>'Part VI-Pro Forma'!H43</f>
        <v/>
      </c>
      <c r="I743" s="2755" t="str">
        <f>'Part VI-Pro Forma'!I43</f>
        <v/>
      </c>
      <c r="J743" s="2755" t="str">
        <f>'Part VI-Pro Forma'!J43</f>
        <v/>
      </c>
      <c r="K743" s="2755" t="str">
        <f>'Part VI-Pro Forma'!K43</f>
        <v/>
      </c>
    </row>
    <row r="744" spans="1:11">
      <c r="A744" s="356" t="s">
        <v>3276</v>
      </c>
      <c r="B744" s="2755">
        <f>'Part VI-Pro Forma'!B44</f>
        <v>146495.62316822732</v>
      </c>
      <c r="C744" s="2755">
        <f>'Part VI-Pro Forma'!C44</f>
        <v>6301.9823364544427</v>
      </c>
      <c r="D744" s="2755">
        <f>'Part VI-Pro Forma'!D44</f>
        <v>0</v>
      </c>
      <c r="E744" s="2755">
        <f>'Part VI-Pro Forma'!E44</f>
        <v>0</v>
      </c>
      <c r="F744" s="2755">
        <f>'Part VI-Pro Forma'!F44</f>
        <v>0</v>
      </c>
      <c r="G744" s="2755">
        <f>'Part VI-Pro Forma'!G44</f>
        <v>0</v>
      </c>
      <c r="H744" s="2755">
        <f>'Part VI-Pro Forma'!H44</f>
        <v>0</v>
      </c>
      <c r="I744" s="2755">
        <f>'Part VI-Pro Forma'!I44</f>
        <v>0</v>
      </c>
      <c r="J744" s="2755">
        <f>'Part VI-Pro Forma'!J44</f>
        <v>0</v>
      </c>
      <c r="K744" s="2755">
        <f>'Part VI-Pro Forma'!K44</f>
        <v>0</v>
      </c>
    </row>
    <row r="745" spans="1:11">
      <c r="B745" s="2755"/>
      <c r="C745" s="2755"/>
      <c r="D745" s="2755"/>
      <c r="E745" s="2755"/>
      <c r="F745" s="2755"/>
      <c r="G745" s="2755"/>
      <c r="H745" s="2755"/>
      <c r="I745" s="2755"/>
      <c r="J745" s="2755"/>
      <c r="K745" s="2755"/>
    </row>
    <row r="746" spans="1:11">
      <c r="A746" s="360" t="s">
        <v>2278</v>
      </c>
      <c r="B746" s="2758">
        <f>K714+1</f>
        <v>11</v>
      </c>
      <c r="C746" s="2758">
        <f t="shared" ref="C746:K746" si="390">B746+1</f>
        <v>12</v>
      </c>
      <c r="D746" s="2758">
        <f t="shared" si="390"/>
        <v>13</v>
      </c>
      <c r="E746" s="2758">
        <f t="shared" si="390"/>
        <v>14</v>
      </c>
      <c r="F746" s="2758">
        <f t="shared" si="390"/>
        <v>15</v>
      </c>
      <c r="G746" s="2758">
        <f t="shared" si="390"/>
        <v>16</v>
      </c>
      <c r="H746" s="2758">
        <f t="shared" si="390"/>
        <v>17</v>
      </c>
      <c r="I746" s="2758">
        <f t="shared" si="390"/>
        <v>18</v>
      </c>
      <c r="J746" s="2758">
        <f t="shared" si="390"/>
        <v>19</v>
      </c>
      <c r="K746" s="2758">
        <f t="shared" si="390"/>
        <v>20</v>
      </c>
    </row>
    <row r="747" spans="1:11">
      <c r="A747" s="356" t="s">
        <v>2209</v>
      </c>
      <c r="B747" s="2755" t="e">
        <f t="shared" ref="B747:K747" si="391">$B$15*(1+$B$6)^(B746-1)</f>
        <v>#VALUE!</v>
      </c>
      <c r="C747" s="2755" t="e">
        <f t="shared" si="391"/>
        <v>#VALUE!</v>
      </c>
      <c r="D747" s="2755" t="e">
        <f t="shared" si="391"/>
        <v>#VALUE!</v>
      </c>
      <c r="E747" s="2755" t="e">
        <f t="shared" si="391"/>
        <v>#VALUE!</v>
      </c>
      <c r="F747" s="2755" t="e">
        <f t="shared" si="391"/>
        <v>#VALUE!</v>
      </c>
      <c r="G747" s="2755" t="e">
        <f t="shared" si="391"/>
        <v>#VALUE!</v>
      </c>
      <c r="H747" s="2755" t="e">
        <f t="shared" si="391"/>
        <v>#VALUE!</v>
      </c>
      <c r="I747" s="2755" t="e">
        <f t="shared" si="391"/>
        <v>#VALUE!</v>
      </c>
      <c r="J747" s="2755" t="e">
        <f t="shared" si="391"/>
        <v>#VALUE!</v>
      </c>
      <c r="K747" s="2755" t="e">
        <f t="shared" si="391"/>
        <v>#VALUE!</v>
      </c>
    </row>
    <row r="748" spans="1:11">
      <c r="A748" s="356" t="s">
        <v>951</v>
      </c>
      <c r="B748" s="2755" t="e">
        <f t="shared" ref="B748:K748" si="392">$B$16*(1+$B$6)^(B746-1)</f>
        <v>#VALUE!</v>
      </c>
      <c r="C748" s="2755" t="e">
        <f t="shared" si="392"/>
        <v>#VALUE!</v>
      </c>
      <c r="D748" s="2755" t="e">
        <f t="shared" si="392"/>
        <v>#VALUE!</v>
      </c>
      <c r="E748" s="2755" t="e">
        <f t="shared" si="392"/>
        <v>#VALUE!</v>
      </c>
      <c r="F748" s="2755" t="e">
        <f t="shared" si="392"/>
        <v>#VALUE!</v>
      </c>
      <c r="G748" s="2755" t="e">
        <f t="shared" si="392"/>
        <v>#VALUE!</v>
      </c>
      <c r="H748" s="2755" t="e">
        <f t="shared" si="392"/>
        <v>#VALUE!</v>
      </c>
      <c r="I748" s="2755" t="e">
        <f t="shared" si="392"/>
        <v>#VALUE!</v>
      </c>
      <c r="J748" s="2755" t="e">
        <f t="shared" si="392"/>
        <v>#VALUE!</v>
      </c>
      <c r="K748" s="2755" t="e">
        <f t="shared" si="392"/>
        <v>#VALUE!</v>
      </c>
    </row>
    <row r="749" spans="1:11">
      <c r="A749" s="356" t="s">
        <v>2210</v>
      </c>
      <c r="B749" s="2755" t="e">
        <f t="shared" ref="B749:K749" si="393">-(B747+B748)*$B$9</f>
        <v>#VALUE!</v>
      </c>
      <c r="C749" s="2755" t="e">
        <f t="shared" si="393"/>
        <v>#VALUE!</v>
      </c>
      <c r="D749" s="2755" t="e">
        <f t="shared" si="393"/>
        <v>#VALUE!</v>
      </c>
      <c r="E749" s="2755" t="e">
        <f t="shared" si="393"/>
        <v>#VALUE!</v>
      </c>
      <c r="F749" s="2755" t="e">
        <f t="shared" si="393"/>
        <v>#VALUE!</v>
      </c>
      <c r="G749" s="2755" t="e">
        <f t="shared" si="393"/>
        <v>#VALUE!</v>
      </c>
      <c r="H749" s="2755" t="e">
        <f t="shared" si="393"/>
        <v>#VALUE!</v>
      </c>
      <c r="I749" s="2755" t="e">
        <f t="shared" si="393"/>
        <v>#VALUE!</v>
      </c>
      <c r="J749" s="2755" t="e">
        <f t="shared" si="393"/>
        <v>#VALUE!</v>
      </c>
      <c r="K749" s="2755" t="e">
        <f t="shared" si="393"/>
        <v>#VALUE!</v>
      </c>
    </row>
    <row r="750" spans="1:11">
      <c r="A750" s="356" t="s">
        <v>47</v>
      </c>
      <c r="B750" s="2755">
        <f>'Part V-Revenues &amp; Expenses'!H815</f>
        <v>0</v>
      </c>
      <c r="C750" s="2755">
        <f>'Part V-Revenues &amp; Expenses'!I815</f>
        <v>0</v>
      </c>
      <c r="D750" s="2755">
        <f>'Part V-Revenues &amp; Expenses'!J815</f>
        <v>0</v>
      </c>
      <c r="E750" s="2755">
        <f>'Part V-Revenues &amp; Expenses'!K815</f>
        <v>0</v>
      </c>
      <c r="F750" s="2755">
        <f>'Part V-Revenues &amp; Expenses'!L815</f>
        <v>0</v>
      </c>
      <c r="G750" s="2755">
        <f>'Part V-Revenues &amp; Expenses'!M815</f>
        <v>0</v>
      </c>
      <c r="H750" s="2755">
        <f>'Part V-Revenues &amp; Expenses'!N815</f>
        <v>0</v>
      </c>
      <c r="I750" s="2755">
        <f>'Part V-Revenues &amp; Expenses'!O815</f>
        <v>0</v>
      </c>
      <c r="J750" s="2755">
        <f>'Part V-Revenues &amp; Expenses'!P815</f>
        <v>0</v>
      </c>
      <c r="K750" s="2755">
        <f>'Part V-Revenues &amp; Expenses'!Q815</f>
        <v>0</v>
      </c>
    </row>
    <row r="751" spans="1:11">
      <c r="A751" s="356" t="s">
        <v>48</v>
      </c>
      <c r="B751" s="2755">
        <f>'Part V-Revenues &amp; Expenses'!H819</f>
        <v>0</v>
      </c>
      <c r="C751" s="2755">
        <f>'Part V-Revenues &amp; Expenses'!I819</f>
        <v>0</v>
      </c>
      <c r="D751" s="2755">
        <f>'Part V-Revenues &amp; Expenses'!J819</f>
        <v>0</v>
      </c>
      <c r="E751" s="2755">
        <f>'Part V-Revenues &amp; Expenses'!K819</f>
        <v>0</v>
      </c>
      <c r="F751" s="2755">
        <f>'Part V-Revenues &amp; Expenses'!L819</f>
        <v>0</v>
      </c>
      <c r="G751" s="2755">
        <f>'Part V-Revenues &amp; Expenses'!M819</f>
        <v>0</v>
      </c>
      <c r="H751" s="2755">
        <f>'Part V-Revenues &amp; Expenses'!N819</f>
        <v>0</v>
      </c>
      <c r="I751" s="2755">
        <f>'Part V-Revenues &amp; Expenses'!O819</f>
        <v>0</v>
      </c>
      <c r="J751" s="2755">
        <f>'Part V-Revenues &amp; Expenses'!P819</f>
        <v>0</v>
      </c>
      <c r="K751" s="2755">
        <f>'Part V-Revenues &amp; Expenses'!Q819</f>
        <v>0</v>
      </c>
    </row>
    <row r="752" spans="1:11">
      <c r="A752" s="356" t="s">
        <v>3715</v>
      </c>
      <c r="B752" s="2755" t="e">
        <f t="shared" ref="B752:K752" si="394">SUM(B747:B751)</f>
        <v>#VALUE!</v>
      </c>
      <c r="C752" s="2755" t="e">
        <f t="shared" si="394"/>
        <v>#VALUE!</v>
      </c>
      <c r="D752" s="2755" t="e">
        <f t="shared" si="394"/>
        <v>#VALUE!</v>
      </c>
      <c r="E752" s="2755" t="e">
        <f t="shared" si="394"/>
        <v>#VALUE!</v>
      </c>
      <c r="F752" s="2755" t="e">
        <f t="shared" si="394"/>
        <v>#VALUE!</v>
      </c>
      <c r="G752" s="2755" t="e">
        <f t="shared" si="394"/>
        <v>#VALUE!</v>
      </c>
      <c r="H752" s="2755" t="e">
        <f t="shared" si="394"/>
        <v>#VALUE!</v>
      </c>
      <c r="I752" s="2755" t="e">
        <f t="shared" si="394"/>
        <v>#VALUE!</v>
      </c>
      <c r="J752" s="2755" t="e">
        <f t="shared" si="394"/>
        <v>#VALUE!</v>
      </c>
      <c r="K752" s="2755" t="e">
        <f t="shared" si="394"/>
        <v>#VALUE!</v>
      </c>
    </row>
    <row r="753" spans="1:11">
      <c r="A753" s="356" t="s">
        <v>571</v>
      </c>
      <c r="B753" s="2755" t="e">
        <f t="shared" ref="B753:K753" si="395">$B$21*(1+$B$7)^(B746-1)</f>
        <v>#VALUE!</v>
      </c>
      <c r="C753" s="2755" t="e">
        <f t="shared" si="395"/>
        <v>#VALUE!</v>
      </c>
      <c r="D753" s="2755" t="e">
        <f t="shared" si="395"/>
        <v>#VALUE!</v>
      </c>
      <c r="E753" s="2755" t="e">
        <f t="shared" si="395"/>
        <v>#VALUE!</v>
      </c>
      <c r="F753" s="2755" t="e">
        <f t="shared" si="395"/>
        <v>#VALUE!</v>
      </c>
      <c r="G753" s="2755" t="e">
        <f t="shared" si="395"/>
        <v>#VALUE!</v>
      </c>
      <c r="H753" s="2755" t="e">
        <f t="shared" si="395"/>
        <v>#VALUE!</v>
      </c>
      <c r="I753" s="2755" t="e">
        <f t="shared" si="395"/>
        <v>#VALUE!</v>
      </c>
      <c r="J753" s="2755" t="e">
        <f t="shared" si="395"/>
        <v>#VALUE!</v>
      </c>
      <c r="K753" s="2755" t="e">
        <f t="shared" si="395"/>
        <v>#VALUE!</v>
      </c>
    </row>
    <row r="754" spans="1:11">
      <c r="A754" s="356" t="s">
        <v>1049</v>
      </c>
      <c r="B754" s="2755" t="e">
        <f>IF(AND('Part VI-Pro Forma'!$G$9="Yes",'Part VI-Pro Forma'!$G$10="Yes"),"Choose One!",IF('Part VI-Pro Forma'!$G$9="Yes",ROUND((-$K$9*(1+'Part VI-Pro Forma'!$B$7)^('Part VI-Pro Forma'!B663-1)),),IF('Part VI-Pro Forma'!$G$10="Yes",ROUND((-(SUM(B747:B750)*'Part VI-Pro Forma'!$K$10)),),"Choose mgt fee")))</f>
        <v>#VALUE!</v>
      </c>
      <c r="C754" s="2755" t="e">
        <f>IF(AND('Part VI-Pro Forma'!$G$9="Yes",'Part VI-Pro Forma'!$G$10="Yes"),"Choose One!",IF('Part VI-Pro Forma'!$G$9="Yes",ROUND((-$K$9*(1+'Part VI-Pro Forma'!$B$7)^('Part VI-Pro Forma'!C663-1)),),IF('Part VI-Pro Forma'!$G$10="Yes",ROUND((-(SUM(C747:C750)*'Part VI-Pro Forma'!$K$10)),),"Choose mgt fee")))</f>
        <v>#VALUE!</v>
      </c>
      <c r="D754" s="2755" t="e">
        <f>IF(AND('Part VI-Pro Forma'!$G$9="Yes",'Part VI-Pro Forma'!$G$10="Yes"),"Choose One!",IF('Part VI-Pro Forma'!$G$9="Yes",ROUND((-$K$9*(1+'Part VI-Pro Forma'!$B$7)^('Part VI-Pro Forma'!D663-1)),),IF('Part VI-Pro Forma'!$G$10="Yes",ROUND((-(SUM(D747:D750)*'Part VI-Pro Forma'!$K$10)),),"Choose mgt fee")))</f>
        <v>#VALUE!</v>
      </c>
      <c r="E754" s="2755" t="e">
        <f>IF(AND('Part VI-Pro Forma'!$G$9="Yes",'Part VI-Pro Forma'!$G$10="Yes"),"Choose One!",IF('Part VI-Pro Forma'!$G$9="Yes",ROUND((-$K$9*(1+'Part VI-Pro Forma'!$B$7)^('Part VI-Pro Forma'!E663-1)),),IF('Part VI-Pro Forma'!$G$10="Yes",ROUND((-(SUM(E747:E750)*'Part VI-Pro Forma'!$K$10)),),"Choose mgt fee")))</f>
        <v>#VALUE!</v>
      </c>
      <c r="F754" s="2755" t="e">
        <f>IF(AND('Part VI-Pro Forma'!$G$9="Yes",'Part VI-Pro Forma'!$G$10="Yes"),"Choose One!",IF('Part VI-Pro Forma'!$G$9="Yes",ROUND((-$K$9*(1+'Part VI-Pro Forma'!$B$7)^('Part VI-Pro Forma'!F663-1)),),IF('Part VI-Pro Forma'!$G$10="Yes",ROUND((-(SUM(F747:F750)*'Part VI-Pro Forma'!$K$10)),),"Choose mgt fee")))</f>
        <v>#VALUE!</v>
      </c>
      <c r="G754" s="2755" t="e">
        <f>IF(AND('Part VI-Pro Forma'!$G$9="Yes",'Part VI-Pro Forma'!$G$10="Yes"),"Choose One!",IF('Part VI-Pro Forma'!$G$9="Yes",ROUND((-$K$9*(1+'Part VI-Pro Forma'!$B$7)^('Part VI-Pro Forma'!G663-1)),),IF('Part VI-Pro Forma'!$G$10="Yes",ROUND((-(SUM(G747:G750)*'Part VI-Pro Forma'!$K$10)),),"Choose mgt fee")))</f>
        <v>#VALUE!</v>
      </c>
      <c r="H754" s="2755" t="e">
        <f>IF(AND('Part VI-Pro Forma'!$G$9="Yes",'Part VI-Pro Forma'!$G$10="Yes"),"Choose One!",IF('Part VI-Pro Forma'!$G$9="Yes",ROUND((-$K$9*(1+'Part VI-Pro Forma'!$B$7)^('Part VI-Pro Forma'!H663-1)),),IF('Part VI-Pro Forma'!$G$10="Yes",ROUND((-(SUM(H747:H750)*'Part VI-Pro Forma'!$K$10)),),"Choose mgt fee")))</f>
        <v>#VALUE!</v>
      </c>
      <c r="I754" s="2755" t="e">
        <f>IF(AND('Part VI-Pro Forma'!$G$9="Yes",'Part VI-Pro Forma'!$G$10="Yes"),"Choose One!",IF('Part VI-Pro Forma'!$G$9="Yes",ROUND((-$K$9*(1+'Part VI-Pro Forma'!$B$7)^('Part VI-Pro Forma'!I663-1)),),IF('Part VI-Pro Forma'!$G$10="Yes",ROUND((-(SUM(I747:I750)*'Part VI-Pro Forma'!$K$10)),),"Choose mgt fee")))</f>
        <v>#VALUE!</v>
      </c>
      <c r="J754" s="2755" t="e">
        <f>IF(AND('Part VI-Pro Forma'!$G$9="Yes",'Part VI-Pro Forma'!$G$10="Yes"),"Choose One!",IF('Part VI-Pro Forma'!$G$9="Yes",ROUND((-$K$9*(1+'Part VI-Pro Forma'!$B$7)^('Part VI-Pro Forma'!J663-1)),),IF('Part VI-Pro Forma'!$G$10="Yes",ROUND((-(SUM(J747:J750)*'Part VI-Pro Forma'!$K$10)),),"Choose mgt fee")))</f>
        <v>#VALUE!</v>
      </c>
      <c r="K754" s="2755" t="e">
        <f>IF(AND('Part VI-Pro Forma'!$G$9="Yes",'Part VI-Pro Forma'!$G$10="Yes"),"Choose One!",IF('Part VI-Pro Forma'!$G$9="Yes",ROUND((-$K$9*(1+'Part VI-Pro Forma'!$B$7)^('Part VI-Pro Forma'!K663-1)),),IF('Part VI-Pro Forma'!$G$10="Yes",ROUND((-(SUM(K747:K750)*'Part VI-Pro Forma'!$K$10)),),"Choose mgt fee")))</f>
        <v>#VALUE!</v>
      </c>
    </row>
    <row r="755" spans="1:11">
      <c r="A755" s="356" t="s">
        <v>1127</v>
      </c>
      <c r="B755" s="2755" t="e">
        <f t="shared" ref="B755:K755" si="396">$B$23*(1+$B$8)^(B746-1)</f>
        <v>#VALUE!</v>
      </c>
      <c r="C755" s="2755" t="e">
        <f t="shared" si="396"/>
        <v>#VALUE!</v>
      </c>
      <c r="D755" s="2755" t="e">
        <f t="shared" si="396"/>
        <v>#VALUE!</v>
      </c>
      <c r="E755" s="2755" t="e">
        <f t="shared" si="396"/>
        <v>#VALUE!</v>
      </c>
      <c r="F755" s="2755" t="e">
        <f t="shared" si="396"/>
        <v>#VALUE!</v>
      </c>
      <c r="G755" s="2755" t="e">
        <f t="shared" si="396"/>
        <v>#VALUE!</v>
      </c>
      <c r="H755" s="2755" t="e">
        <f t="shared" si="396"/>
        <v>#VALUE!</v>
      </c>
      <c r="I755" s="2755" t="e">
        <f t="shared" si="396"/>
        <v>#VALUE!</v>
      </c>
      <c r="J755" s="2755" t="e">
        <f t="shared" si="396"/>
        <v>#VALUE!</v>
      </c>
      <c r="K755" s="2755" t="e">
        <f t="shared" si="396"/>
        <v>#VALUE!</v>
      </c>
    </row>
    <row r="756" spans="1:11">
      <c r="A756" s="356" t="s">
        <v>3714</v>
      </c>
      <c r="B756" s="2755">
        <f>'Part VI-Pro Forma'!B56</f>
        <v>0</v>
      </c>
      <c r="C756" s="2755">
        <f>'Part VI-Pro Forma'!C56</f>
        <v>0</v>
      </c>
      <c r="D756" s="2755">
        <f>'Part VI-Pro Forma'!D56</f>
        <v>0</v>
      </c>
      <c r="E756" s="2755">
        <f>'Part VI-Pro Forma'!E56</f>
        <v>0</v>
      </c>
      <c r="F756" s="2755">
        <f>'Part VI-Pro Forma'!F56</f>
        <v>0</v>
      </c>
      <c r="G756" s="2755">
        <f>'Part VI-Pro Forma'!G56</f>
        <v>0</v>
      </c>
      <c r="H756" s="2755">
        <f>'Part VI-Pro Forma'!H56</f>
        <v>0</v>
      </c>
      <c r="I756" s="2755">
        <f>'Part VI-Pro Forma'!I56</f>
        <v>0</v>
      </c>
      <c r="J756" s="2755">
        <f>'Part VI-Pro Forma'!J56</f>
        <v>0</v>
      </c>
      <c r="K756" s="2755">
        <f>'Part VI-Pro Forma'!K56</f>
        <v>0</v>
      </c>
    </row>
    <row r="757" spans="1:11">
      <c r="A757" s="356" t="s">
        <v>1128</v>
      </c>
      <c r="B757" s="2755" t="e">
        <f t="shared" ref="B757:K757" si="397">SUM(B752:B756)</f>
        <v>#VALUE!</v>
      </c>
      <c r="C757" s="2755" t="e">
        <f t="shared" si="397"/>
        <v>#VALUE!</v>
      </c>
      <c r="D757" s="2755" t="e">
        <f t="shared" si="397"/>
        <v>#VALUE!</v>
      </c>
      <c r="E757" s="2755" t="e">
        <f t="shared" si="397"/>
        <v>#VALUE!</v>
      </c>
      <c r="F757" s="2755" t="e">
        <f t="shared" si="397"/>
        <v>#VALUE!</v>
      </c>
      <c r="G757" s="2755" t="e">
        <f t="shared" si="397"/>
        <v>#VALUE!</v>
      </c>
      <c r="H757" s="2755" t="e">
        <f t="shared" si="397"/>
        <v>#VALUE!</v>
      </c>
      <c r="I757" s="2755" t="e">
        <f t="shared" si="397"/>
        <v>#VALUE!</v>
      </c>
      <c r="J757" s="2755" t="e">
        <f t="shared" si="397"/>
        <v>#VALUE!</v>
      </c>
      <c r="K757" s="2755" t="e">
        <f t="shared" si="397"/>
        <v>#VALUE!</v>
      </c>
    </row>
    <row r="758" spans="1:11">
      <c r="A758" s="356" t="str">
        <f>$A726</f>
        <v>Mortgage A</v>
      </c>
      <c r="B758" s="2755">
        <f>'Part VI-Pro Forma'!B58</f>
        <v>-406951.82316822727</v>
      </c>
      <c r="C758" s="2755">
        <f>'Part VI-Pro Forma'!C58</f>
        <v>-406951.82316822727</v>
      </c>
      <c r="D758" s="2755">
        <f>'Part VI-Pro Forma'!D58</f>
        <v>-406951.82316822727</v>
      </c>
      <c r="E758" s="2755">
        <f>'Part VI-Pro Forma'!E58</f>
        <v>-406951.82316822727</v>
      </c>
      <c r="F758" s="2755">
        <f>'Part VI-Pro Forma'!F58</f>
        <v>-406951.82316822727</v>
      </c>
      <c r="G758" s="2755">
        <f>'Part VI-Pro Forma'!G58</f>
        <v>-406951.82316822727</v>
      </c>
      <c r="H758" s="2755">
        <f>'Part VI-Pro Forma'!H58</f>
        <v>-406951.82316822727</v>
      </c>
      <c r="I758" s="2755">
        <f>'Part VI-Pro Forma'!I58</f>
        <v>-406951.82316822727</v>
      </c>
      <c r="J758" s="2755">
        <f>'Part VI-Pro Forma'!J58</f>
        <v>-406951.82316822727</v>
      </c>
      <c r="K758" s="2755">
        <f>'Part VI-Pro Forma'!K58</f>
        <v>-406951.82316822727</v>
      </c>
    </row>
    <row r="759" spans="1:11">
      <c r="A759" s="356" t="str">
        <f>$A727</f>
        <v>Mortgage B</v>
      </c>
      <c r="B759" s="2755">
        <f>'Part VI-Pro Forma'!B59</f>
        <v>-91921.189505156304</v>
      </c>
      <c r="C759" s="2755">
        <f>'Part VI-Pro Forma'!C59</f>
        <v>-94067.940527060113</v>
      </c>
      <c r="D759" s="2755">
        <f>'Part VI-Pro Forma'!D59</f>
        <v>-96143.245846356076</v>
      </c>
      <c r="E759" s="2755">
        <f>'Part VI-Pro Forma'!E59</f>
        <v>-98142.245127300557</v>
      </c>
      <c r="F759" s="2755">
        <f>'Part VI-Pro Forma'!F59</f>
        <v>-100059.87788478454</v>
      </c>
      <c r="G759" s="2755">
        <f>'Part VI-Pro Forma'!G59</f>
        <v>-104465.8763930662</v>
      </c>
      <c r="H759" s="2755">
        <f>'Part VI-Pro Forma'!H59</f>
        <v>-106204.75836003135</v>
      </c>
      <c r="I759" s="2755">
        <f>'Part VI-Pro Forma'!I59</f>
        <v>-107845.81935950852</v>
      </c>
      <c r="J759" s="2755">
        <f>'Part VI-Pro Forma'!J59</f>
        <v>-109383.12501394382</v>
      </c>
      <c r="K759" s="2755">
        <f>'Part VI-Pro Forma'!K59</f>
        <v>-110810.50291948493</v>
      </c>
    </row>
    <row r="760" spans="1:11">
      <c r="A760" s="356" t="str">
        <f>$A728</f>
        <v>Mortgage C</v>
      </c>
      <c r="B760" s="2755">
        <f>'Part VI-Pro Forma'!B60</f>
        <v>0</v>
      </c>
      <c r="C760" s="2755">
        <f>'Part VI-Pro Forma'!C60</f>
        <v>0</v>
      </c>
      <c r="D760" s="2755">
        <f>'Part VI-Pro Forma'!D60</f>
        <v>0</v>
      </c>
      <c r="E760" s="2755">
        <f>'Part VI-Pro Forma'!E60</f>
        <v>0</v>
      </c>
      <c r="F760" s="2755">
        <f>'Part VI-Pro Forma'!F60</f>
        <v>0</v>
      </c>
      <c r="G760" s="2755">
        <f>'Part VI-Pro Forma'!G60</f>
        <v>0</v>
      </c>
      <c r="H760" s="2755">
        <f>'Part VI-Pro Forma'!H60</f>
        <v>0</v>
      </c>
      <c r="I760" s="2755">
        <f>'Part VI-Pro Forma'!I60</f>
        <v>0</v>
      </c>
      <c r="J760" s="2755">
        <f>'Part VI-Pro Forma'!J60</f>
        <v>0</v>
      </c>
      <c r="K760" s="2755">
        <f>'Part VI-Pro Forma'!K60</f>
        <v>0</v>
      </c>
    </row>
    <row r="761" spans="1:11">
      <c r="A761" s="356" t="str">
        <f>$A729</f>
        <v>D/S Other Source,not DDF</v>
      </c>
      <c r="B761" s="2755">
        <f>'Part VI-Pro Forma'!B62</f>
        <v>0</v>
      </c>
      <c r="C761" s="2755">
        <f>'Part VI-Pro Forma'!C61</f>
        <v>0</v>
      </c>
      <c r="D761" s="2755">
        <f>'Part VI-Pro Forma'!D61</f>
        <v>0</v>
      </c>
      <c r="E761" s="2755">
        <f>'Part VI-Pro Forma'!E61</f>
        <v>0</v>
      </c>
      <c r="F761" s="2755">
        <f>'Part VI-Pro Forma'!F61</f>
        <v>0</v>
      </c>
      <c r="G761" s="2755">
        <f>'Part VI-Pro Forma'!G61</f>
        <v>0</v>
      </c>
      <c r="H761" s="2755">
        <f>'Part VI-Pro Forma'!H61</f>
        <v>0</v>
      </c>
      <c r="I761" s="2755">
        <f>'Part VI-Pro Forma'!I61</f>
        <v>0</v>
      </c>
      <c r="J761" s="2755">
        <f>'Part VI-Pro Forma'!J61</f>
        <v>0</v>
      </c>
      <c r="K761" s="2755">
        <f>'Part VI-Pro Forma'!K61</f>
        <v>0</v>
      </c>
    </row>
    <row r="762" spans="1:11">
      <c r="A762" s="356" t="s">
        <v>710</v>
      </c>
      <c r="B762" s="2755"/>
      <c r="C762" s="2755"/>
      <c r="D762" s="2755"/>
      <c r="E762" s="2755"/>
      <c r="F762" s="2755"/>
      <c r="G762" s="2755"/>
      <c r="H762" s="2755"/>
      <c r="I762" s="2755"/>
      <c r="J762" s="2755"/>
      <c r="K762" s="2755"/>
    </row>
    <row r="763" spans="1:11">
      <c r="A763" s="356" t="s">
        <v>1094</v>
      </c>
      <c r="B763" s="2755">
        <f>'Part VI-Pro Forma'!B63</f>
        <v>-6719.5818967206096</v>
      </c>
      <c r="C763" s="2755">
        <f>'Part VI-Pro Forma'!C63</f>
        <v>-6921.1693536222283</v>
      </c>
      <c r="D763" s="2755">
        <f>'Part VI-Pro Forma'!D63</f>
        <v>-7128.8044342308949</v>
      </c>
      <c r="E763" s="2755">
        <f>'Part VI-Pro Forma'!E63</f>
        <v>-7342.6685672578224</v>
      </c>
      <c r="F763" s="2755">
        <f>'Part VI-Pro Forma'!F63</f>
        <v>-7562.9486242755574</v>
      </c>
      <c r="G763" s="2755">
        <f>'Part VI-Pro Forma'!G63</f>
        <v>0</v>
      </c>
      <c r="H763" s="2755">
        <f>'Part VI-Pro Forma'!H63</f>
        <v>0</v>
      </c>
      <c r="I763" s="2755">
        <f>'Part VI-Pro Forma'!I63</f>
        <v>0</v>
      </c>
      <c r="J763" s="2755">
        <f>'Part VI-Pro Forma'!J63</f>
        <v>0</v>
      </c>
      <c r="K763" s="2755">
        <f>'Part VI-Pro Forma'!K63</f>
        <v>0</v>
      </c>
    </row>
    <row r="764" spans="1:11">
      <c r="A764" s="356" t="s">
        <v>3275</v>
      </c>
      <c r="B764" s="2755">
        <f>'Part VI-Pro Forma'!B64</f>
        <v>0</v>
      </c>
      <c r="C764" s="2755">
        <f>'Part VI-Pro Forma'!C64</f>
        <v>0</v>
      </c>
      <c r="D764" s="2755">
        <f>'Part VI-Pro Forma'!D64</f>
        <v>0</v>
      </c>
      <c r="E764" s="2755">
        <f>'Part VI-Pro Forma'!E64</f>
        <v>0</v>
      </c>
      <c r="F764" s="2755">
        <f>'Part VI-Pro Forma'!F64</f>
        <v>0</v>
      </c>
      <c r="G764" s="2755">
        <f>'Part VI-Pro Forma'!G64</f>
        <v>0</v>
      </c>
      <c r="H764" s="2755">
        <f>'Part VI-Pro Forma'!H64</f>
        <v>0</v>
      </c>
      <c r="I764" s="2755">
        <f>'Part VI-Pro Forma'!I64</f>
        <v>0</v>
      </c>
      <c r="J764" s="2755">
        <f>'Part VI-Pro Forma'!J64</f>
        <v>0</v>
      </c>
      <c r="K764" s="2755">
        <f>'Part VI-Pro Forma'!K64</f>
        <v>0</v>
      </c>
    </row>
    <row r="765" spans="1:11">
      <c r="A765" s="356" t="s">
        <v>1095</v>
      </c>
      <c r="B765" s="2755" t="e">
        <f t="shared" ref="B765:K765" si="398">SUM(B757:B764)</f>
        <v>#VALUE!</v>
      </c>
      <c r="C765" s="2755" t="e">
        <f t="shared" si="398"/>
        <v>#VALUE!</v>
      </c>
      <c r="D765" s="2755" t="e">
        <f t="shared" si="398"/>
        <v>#VALUE!</v>
      </c>
      <c r="E765" s="2755" t="e">
        <f t="shared" si="398"/>
        <v>#VALUE!</v>
      </c>
      <c r="F765" s="2755" t="e">
        <f t="shared" si="398"/>
        <v>#VALUE!</v>
      </c>
      <c r="G765" s="2755" t="e">
        <f t="shared" si="398"/>
        <v>#VALUE!</v>
      </c>
      <c r="H765" s="2755" t="e">
        <f t="shared" si="398"/>
        <v>#VALUE!</v>
      </c>
      <c r="I765" s="2755" t="e">
        <f t="shared" si="398"/>
        <v>#VALUE!</v>
      </c>
      <c r="J765" s="2755" t="e">
        <f t="shared" si="398"/>
        <v>#VALUE!</v>
      </c>
      <c r="K765" s="2755" t="e">
        <f t="shared" si="398"/>
        <v>#VALUE!</v>
      </c>
    </row>
    <row r="766" spans="1:11">
      <c r="A766" s="356" t="str">
        <f>$A734</f>
        <v>DCR Mortgage A</v>
      </c>
      <c r="B766" s="2756" t="e">
        <f t="shared" ref="B766:K766" si="399">IF(B758=0,"",-B757/B758)</f>
        <v>#VALUE!</v>
      </c>
      <c r="C766" s="2756" t="e">
        <f t="shared" si="399"/>
        <v>#VALUE!</v>
      </c>
      <c r="D766" s="2756" t="e">
        <f t="shared" si="399"/>
        <v>#VALUE!</v>
      </c>
      <c r="E766" s="2756" t="e">
        <f t="shared" si="399"/>
        <v>#VALUE!</v>
      </c>
      <c r="F766" s="2756" t="e">
        <f t="shared" si="399"/>
        <v>#VALUE!</v>
      </c>
      <c r="G766" s="2756" t="e">
        <f t="shared" si="399"/>
        <v>#VALUE!</v>
      </c>
      <c r="H766" s="2756" t="e">
        <f t="shared" si="399"/>
        <v>#VALUE!</v>
      </c>
      <c r="I766" s="2756" t="e">
        <f t="shared" si="399"/>
        <v>#VALUE!</v>
      </c>
      <c r="J766" s="2756" t="e">
        <f t="shared" si="399"/>
        <v>#VALUE!</v>
      </c>
      <c r="K766" s="2756" t="e">
        <f t="shared" si="399"/>
        <v>#VALUE!</v>
      </c>
    </row>
    <row r="767" spans="1:11">
      <c r="A767" s="356" t="str">
        <f>$A735</f>
        <v>DCR Mortgage B</v>
      </c>
      <c r="B767" s="2756" t="e">
        <f t="shared" ref="B767:K767" si="400">IF(B759=0,"",-(B757+B758)/B759)</f>
        <v>#VALUE!</v>
      </c>
      <c r="C767" s="2756" t="e">
        <f t="shared" si="400"/>
        <v>#VALUE!</v>
      </c>
      <c r="D767" s="2756" t="e">
        <f t="shared" si="400"/>
        <v>#VALUE!</v>
      </c>
      <c r="E767" s="2756" t="e">
        <f t="shared" si="400"/>
        <v>#VALUE!</v>
      </c>
      <c r="F767" s="2756" t="e">
        <f t="shared" si="400"/>
        <v>#VALUE!</v>
      </c>
      <c r="G767" s="2756" t="e">
        <f t="shared" si="400"/>
        <v>#VALUE!</v>
      </c>
      <c r="H767" s="2756" t="e">
        <f t="shared" si="400"/>
        <v>#VALUE!</v>
      </c>
      <c r="I767" s="2756" t="e">
        <f t="shared" si="400"/>
        <v>#VALUE!</v>
      </c>
      <c r="J767" s="2756" t="e">
        <f t="shared" si="400"/>
        <v>#VALUE!</v>
      </c>
      <c r="K767" s="2756" t="e">
        <f t="shared" si="400"/>
        <v>#VALUE!</v>
      </c>
    </row>
    <row r="768" spans="1:11">
      <c r="A768" s="356" t="str">
        <f>$A736</f>
        <v>DCR Mortgage C</v>
      </c>
      <c r="B768" s="2756" t="str">
        <f t="shared" ref="B768:K768" si="401">IF(B760=0,"",-(B757+B758+B759)/B760)</f>
        <v/>
      </c>
      <c r="C768" s="2756" t="str">
        <f t="shared" si="401"/>
        <v/>
      </c>
      <c r="D768" s="2756" t="str">
        <f t="shared" si="401"/>
        <v/>
      </c>
      <c r="E768" s="2756" t="str">
        <f t="shared" si="401"/>
        <v/>
      </c>
      <c r="F768" s="2756" t="str">
        <f t="shared" si="401"/>
        <v/>
      </c>
      <c r="G768" s="2756" t="str">
        <f t="shared" si="401"/>
        <v/>
      </c>
      <c r="H768" s="2756" t="str">
        <f t="shared" si="401"/>
        <v/>
      </c>
      <c r="I768" s="2756" t="str">
        <f t="shared" si="401"/>
        <v/>
      </c>
      <c r="J768" s="2756" t="str">
        <f t="shared" si="401"/>
        <v/>
      </c>
      <c r="K768" s="2756" t="str">
        <f t="shared" si="401"/>
        <v/>
      </c>
    </row>
    <row r="769" spans="1:11">
      <c r="A769" s="356" t="str">
        <f>$A737</f>
        <v>DCR Other Source</v>
      </c>
      <c r="B769" s="2756" t="str">
        <f t="shared" ref="B769:K769" si="402">IF(B761=0,"",-(B757+B758+B759+B760)/B761)</f>
        <v/>
      </c>
      <c r="C769" s="2756" t="str">
        <f t="shared" si="402"/>
        <v/>
      </c>
      <c r="D769" s="2756" t="str">
        <f t="shared" si="402"/>
        <v/>
      </c>
      <c r="E769" s="2756" t="str">
        <f t="shared" si="402"/>
        <v/>
      </c>
      <c r="F769" s="2756" t="str">
        <f t="shared" si="402"/>
        <v/>
      </c>
      <c r="G769" s="2756" t="str">
        <f t="shared" si="402"/>
        <v/>
      </c>
      <c r="H769" s="2756" t="str">
        <f t="shared" si="402"/>
        <v/>
      </c>
      <c r="I769" s="2756" t="str">
        <f t="shared" si="402"/>
        <v/>
      </c>
      <c r="J769" s="2756" t="str">
        <f t="shared" si="402"/>
        <v/>
      </c>
      <c r="K769" s="2756" t="str">
        <f t="shared" si="402"/>
        <v/>
      </c>
    </row>
    <row r="770" spans="1:11">
      <c r="A770" s="356" t="s">
        <v>3129</v>
      </c>
      <c r="B770" s="2756" t="e">
        <f t="shared" ref="B770:K770" si="403">IF(AND(B758=0,B759=0,B760=0,B761=0),"",-B757/(B758+B759+B760+B761))</f>
        <v>#VALUE!</v>
      </c>
      <c r="C770" s="2756" t="e">
        <f t="shared" si="403"/>
        <v>#VALUE!</v>
      </c>
      <c r="D770" s="2756" t="e">
        <f t="shared" si="403"/>
        <v>#VALUE!</v>
      </c>
      <c r="E770" s="2756" t="e">
        <f t="shared" si="403"/>
        <v>#VALUE!</v>
      </c>
      <c r="F770" s="2756" t="e">
        <f t="shared" si="403"/>
        <v>#VALUE!</v>
      </c>
      <c r="G770" s="2756" t="e">
        <f t="shared" si="403"/>
        <v>#VALUE!</v>
      </c>
      <c r="H770" s="2756" t="e">
        <f t="shared" si="403"/>
        <v>#VALUE!</v>
      </c>
      <c r="I770" s="2756" t="e">
        <f t="shared" si="403"/>
        <v>#VALUE!</v>
      </c>
      <c r="J770" s="2756" t="e">
        <f t="shared" si="403"/>
        <v>#VALUE!</v>
      </c>
      <c r="K770" s="2756" t="e">
        <f t="shared" si="403"/>
        <v>#VALUE!</v>
      </c>
    </row>
    <row r="771" spans="1:11">
      <c r="A771" s="356" t="s">
        <v>717</v>
      </c>
      <c r="B771" s="2757" t="e">
        <f t="shared" ref="B771:K771" si="404">IF(OR(B754="Choose mgt fee",B754="Choose One!"),"",(B747+B748+B749+B750+B751) / -(B753+B754+B755))</f>
        <v>#VALUE!</v>
      </c>
      <c r="C771" s="2757" t="e">
        <f t="shared" si="404"/>
        <v>#VALUE!</v>
      </c>
      <c r="D771" s="2757" t="e">
        <f t="shared" si="404"/>
        <v>#VALUE!</v>
      </c>
      <c r="E771" s="2757" t="e">
        <f t="shared" si="404"/>
        <v>#VALUE!</v>
      </c>
      <c r="F771" s="2757" t="e">
        <f t="shared" si="404"/>
        <v>#VALUE!</v>
      </c>
      <c r="G771" s="2757" t="e">
        <f t="shared" si="404"/>
        <v>#VALUE!</v>
      </c>
      <c r="H771" s="2757" t="e">
        <f t="shared" si="404"/>
        <v>#VALUE!</v>
      </c>
      <c r="I771" s="2757" t="e">
        <f t="shared" si="404"/>
        <v>#VALUE!</v>
      </c>
      <c r="J771" s="2757" t="e">
        <f t="shared" si="404"/>
        <v>#VALUE!</v>
      </c>
      <c r="K771" s="2757" t="e">
        <f t="shared" si="404"/>
        <v>#VALUE!</v>
      </c>
    </row>
    <row r="772" spans="1:11">
      <c r="A772" s="356" t="s">
        <v>2399</v>
      </c>
      <c r="B772" s="2755">
        <f>'Part VI-Pro Forma'!B72</f>
        <v>4842575.3609803133</v>
      </c>
      <c r="C772" s="2755">
        <f>'Part VI-Pro Forma'!C72</f>
        <v>4793288.8625079291</v>
      </c>
      <c r="D772" s="2755">
        <f>'Part VI-Pro Forma'!D72</f>
        <v>4740218.3359629437</v>
      </c>
      <c r="E772" s="2755">
        <f>'Part VI-Pro Forma'!E72</f>
        <v>4683073.258202143</v>
      </c>
      <c r="F772" s="2755">
        <f>'Part VI-Pro Forma'!F72</f>
        <v>4621540.8008311028</v>
      </c>
      <c r="G772" s="2755">
        <f>'Part VI-Pro Forma'!G72</f>
        <v>4555284.1176926624</v>
      </c>
      <c r="H772" s="2755">
        <f>'Part VI-Pro Forma'!H72</f>
        <v>4483940.5008753408</v>
      </c>
      <c r="I772" s="2755">
        <f>'Part VI-Pro Forma'!I72</f>
        <v>4407119.3951471588</v>
      </c>
      <c r="J772" s="2755">
        <f>'Part VI-Pro Forma'!J72</f>
        <v>4324400.2599453144</v>
      </c>
      <c r="K772" s="2755">
        <f>'Part VI-Pro Forma'!K72</f>
        <v>4235330.2672176417</v>
      </c>
    </row>
    <row r="773" spans="1:11">
      <c r="A773" s="356" t="s">
        <v>2400</v>
      </c>
      <c r="B773" s="2755">
        <f>'Part VI-Pro Forma'!B73</f>
        <v>1012992.4554434015</v>
      </c>
      <c r="C773" s="2755">
        <f>'Part VI-Pro Forma'!C73</f>
        <v>933574.8837522415</v>
      </c>
      <c r="D773" s="2755">
        <f>'Part VI-Pro Forma'!D73</f>
        <v>850868.19166797644</v>
      </c>
      <c r="E773" s="2755">
        <f>'Part VI-Pro Forma'!E73</f>
        <v>764899.53461126762</v>
      </c>
      <c r="F773" s="2755">
        <f>'Part VI-Pro Forma'!F73</f>
        <v>675701.57356750488</v>
      </c>
      <c r="G773" s="2755">
        <f>'Part VI-Pro Forma'!G73</f>
        <v>580719.98981588148</v>
      </c>
      <c r="H773" s="2755">
        <f>'Part VI-Pro Forma'!H73</f>
        <v>482552.95967215823</v>
      </c>
      <c r="I773" s="2755">
        <f>'Part VI-Pro Forma'!I73</f>
        <v>381250.86786539014</v>
      </c>
      <c r="J773" s="2755">
        <f>'Part VI-Pro Forma'!J73</f>
        <v>276870.83546007774</v>
      </c>
      <c r="K773" s="2755">
        <f>'Part VI-Pro Forma'!K73</f>
        <v>169477.06126835282</v>
      </c>
    </row>
    <row r="774" spans="1:11">
      <c r="A774" s="356" t="s">
        <v>2401</v>
      </c>
      <c r="B774" s="2755" t="str">
        <f>'Part VI-Pro Forma'!B74</f>
        <v/>
      </c>
      <c r="C774" s="2755" t="str">
        <f>'Part VI-Pro Forma'!C74</f>
        <v/>
      </c>
      <c r="D774" s="2755" t="str">
        <f>'Part VI-Pro Forma'!D74</f>
        <v/>
      </c>
      <c r="E774" s="2755" t="str">
        <f>'Part VI-Pro Forma'!E74</f>
        <v/>
      </c>
      <c r="F774" s="2755" t="str">
        <f>'Part VI-Pro Forma'!F74</f>
        <v/>
      </c>
      <c r="G774" s="2755" t="str">
        <f>'Part VI-Pro Forma'!G74</f>
        <v/>
      </c>
      <c r="H774" s="2755" t="str">
        <f>'Part VI-Pro Forma'!H74</f>
        <v/>
      </c>
      <c r="I774" s="2755" t="str">
        <f>'Part VI-Pro Forma'!I74</f>
        <v/>
      </c>
      <c r="J774" s="2755" t="str">
        <f>'Part VI-Pro Forma'!J74</f>
        <v/>
      </c>
      <c r="K774" s="2755" t="str">
        <f>'Part VI-Pro Forma'!K74</f>
        <v/>
      </c>
    </row>
    <row r="775" spans="1:11">
      <c r="A775" s="356" t="s">
        <v>729</v>
      </c>
      <c r="B775" s="2755" t="str">
        <f>'Part VI-Pro Forma'!B75</f>
        <v/>
      </c>
      <c r="C775" s="2755" t="str">
        <f>'Part VI-Pro Forma'!C75</f>
        <v/>
      </c>
      <c r="D775" s="2755" t="str">
        <f>'Part VI-Pro Forma'!D75</f>
        <v/>
      </c>
      <c r="E775" s="2755" t="str">
        <f>'Part VI-Pro Forma'!E75</f>
        <v/>
      </c>
      <c r="F775" s="2755" t="str">
        <f>'Part VI-Pro Forma'!F75</f>
        <v/>
      </c>
      <c r="G775" s="2755" t="str">
        <f>'Part VI-Pro Forma'!G75</f>
        <v/>
      </c>
      <c r="H775" s="2755" t="str">
        <f>'Part VI-Pro Forma'!H75</f>
        <v/>
      </c>
      <c r="I775" s="2755" t="str">
        <f>'Part VI-Pro Forma'!I75</f>
        <v/>
      </c>
      <c r="J775" s="2755" t="str">
        <f>'Part VI-Pro Forma'!J75</f>
        <v/>
      </c>
      <c r="K775" s="2755" t="str">
        <f>'Part VI-Pro Forma'!K75</f>
        <v/>
      </c>
    </row>
    <row r="776" spans="1:11">
      <c r="A776" s="356" t="s">
        <v>3276</v>
      </c>
      <c r="B776" s="2755">
        <f>'Part VI-Pro Forma'!B76</f>
        <v>0</v>
      </c>
      <c r="C776" s="2755">
        <f>'Part VI-Pro Forma'!C76</f>
        <v>0</v>
      </c>
      <c r="D776" s="2755">
        <f>'Part VI-Pro Forma'!D76</f>
        <v>0</v>
      </c>
      <c r="E776" s="2755">
        <f>'Part VI-Pro Forma'!E76</f>
        <v>0</v>
      </c>
      <c r="F776" s="2755">
        <f>'Part VI-Pro Forma'!F76</f>
        <v>0</v>
      </c>
      <c r="G776" s="2755">
        <f>'Part VI-Pro Forma'!G76</f>
        <v>0</v>
      </c>
      <c r="H776" s="2755" t="str">
        <f>'Part VI-Pro Forma'!H76</f>
        <v/>
      </c>
      <c r="I776" s="2755" t="str">
        <f>'Part VI-Pro Forma'!I76</f>
        <v/>
      </c>
      <c r="J776" s="2755" t="str">
        <f>'Part VI-Pro Forma'!J76</f>
        <v/>
      </c>
      <c r="K776" s="2755" t="str">
        <f>'Part VI-Pro Forma'!K76</f>
        <v/>
      </c>
    </row>
    <row r="777" spans="1:11">
      <c r="B777" s="2755"/>
      <c r="C777" s="2755"/>
      <c r="D777" s="2755"/>
      <c r="E777" s="2755"/>
      <c r="F777" s="2755"/>
      <c r="G777" s="2755"/>
      <c r="H777" s="2755"/>
      <c r="I777" s="2755"/>
      <c r="J777" s="2755"/>
      <c r="K777" s="2755"/>
    </row>
    <row r="778" spans="1:11">
      <c r="A778" s="360" t="s">
        <v>2278</v>
      </c>
      <c r="B778" s="2758">
        <f>K746+1</f>
        <v>21</v>
      </c>
      <c r="C778" s="2758">
        <f t="shared" ref="C778:K778" si="405">B778+1</f>
        <v>22</v>
      </c>
      <c r="D778" s="2758">
        <f t="shared" si="405"/>
        <v>23</v>
      </c>
      <c r="E778" s="2758">
        <f t="shared" si="405"/>
        <v>24</v>
      </c>
      <c r="F778" s="2758">
        <f t="shared" si="405"/>
        <v>25</v>
      </c>
      <c r="G778" s="2758">
        <f t="shared" si="405"/>
        <v>26</v>
      </c>
      <c r="H778" s="2758">
        <f t="shared" si="405"/>
        <v>27</v>
      </c>
      <c r="I778" s="2758">
        <f t="shared" si="405"/>
        <v>28</v>
      </c>
      <c r="J778" s="2758">
        <f t="shared" si="405"/>
        <v>29</v>
      </c>
      <c r="K778" s="2758">
        <f t="shared" si="405"/>
        <v>30</v>
      </c>
    </row>
    <row r="779" spans="1:11">
      <c r="A779" s="356" t="s">
        <v>2209</v>
      </c>
      <c r="B779" s="2755" t="e">
        <f t="shared" ref="B779:K779" si="406">$B$15*(1+$B$6)^(B778-1)</f>
        <v>#VALUE!</v>
      </c>
      <c r="C779" s="2755" t="e">
        <f t="shared" si="406"/>
        <v>#VALUE!</v>
      </c>
      <c r="D779" s="2755" t="e">
        <f t="shared" si="406"/>
        <v>#VALUE!</v>
      </c>
      <c r="E779" s="2755" t="e">
        <f t="shared" si="406"/>
        <v>#VALUE!</v>
      </c>
      <c r="F779" s="2755" t="e">
        <f t="shared" si="406"/>
        <v>#VALUE!</v>
      </c>
      <c r="G779" s="2755" t="e">
        <f t="shared" si="406"/>
        <v>#VALUE!</v>
      </c>
      <c r="H779" s="2755" t="e">
        <f t="shared" si="406"/>
        <v>#VALUE!</v>
      </c>
      <c r="I779" s="2755" t="e">
        <f t="shared" si="406"/>
        <v>#VALUE!</v>
      </c>
      <c r="J779" s="2755" t="e">
        <f t="shared" si="406"/>
        <v>#VALUE!</v>
      </c>
      <c r="K779" s="2755" t="e">
        <f t="shared" si="406"/>
        <v>#VALUE!</v>
      </c>
    </row>
    <row r="780" spans="1:11">
      <c r="A780" s="356" t="s">
        <v>951</v>
      </c>
      <c r="B780" s="2755" t="e">
        <f t="shared" ref="B780:K780" si="407">$B$16*(1+$B$6)^(B778-1)</f>
        <v>#VALUE!</v>
      </c>
      <c r="C780" s="2755" t="e">
        <f t="shared" si="407"/>
        <v>#VALUE!</v>
      </c>
      <c r="D780" s="2755" t="e">
        <f t="shared" si="407"/>
        <v>#VALUE!</v>
      </c>
      <c r="E780" s="2755" t="e">
        <f t="shared" si="407"/>
        <v>#VALUE!</v>
      </c>
      <c r="F780" s="2755" t="e">
        <f t="shared" si="407"/>
        <v>#VALUE!</v>
      </c>
      <c r="G780" s="2755" t="e">
        <f t="shared" si="407"/>
        <v>#VALUE!</v>
      </c>
      <c r="H780" s="2755" t="e">
        <f t="shared" si="407"/>
        <v>#VALUE!</v>
      </c>
      <c r="I780" s="2755" t="e">
        <f t="shared" si="407"/>
        <v>#VALUE!</v>
      </c>
      <c r="J780" s="2755" t="e">
        <f t="shared" si="407"/>
        <v>#VALUE!</v>
      </c>
      <c r="K780" s="2755" t="e">
        <f t="shared" si="407"/>
        <v>#VALUE!</v>
      </c>
    </row>
    <row r="781" spans="1:11">
      <c r="A781" s="356" t="s">
        <v>2210</v>
      </c>
      <c r="B781" s="2755" t="e">
        <f t="shared" ref="B781:K781" si="408">-(B779+B780)*$B$9</f>
        <v>#VALUE!</v>
      </c>
      <c r="C781" s="2755" t="e">
        <f t="shared" si="408"/>
        <v>#VALUE!</v>
      </c>
      <c r="D781" s="2755" t="e">
        <f t="shared" si="408"/>
        <v>#VALUE!</v>
      </c>
      <c r="E781" s="2755" t="e">
        <f t="shared" si="408"/>
        <v>#VALUE!</v>
      </c>
      <c r="F781" s="2755" t="e">
        <f t="shared" si="408"/>
        <v>#VALUE!</v>
      </c>
      <c r="G781" s="2755" t="e">
        <f t="shared" si="408"/>
        <v>#VALUE!</v>
      </c>
      <c r="H781" s="2755" t="e">
        <f t="shared" si="408"/>
        <v>#VALUE!</v>
      </c>
      <c r="I781" s="2755" t="e">
        <f t="shared" si="408"/>
        <v>#VALUE!</v>
      </c>
      <c r="J781" s="2755" t="e">
        <f t="shared" si="408"/>
        <v>#VALUE!</v>
      </c>
      <c r="K781" s="2755" t="e">
        <f t="shared" si="408"/>
        <v>#VALUE!</v>
      </c>
    </row>
    <row r="782" spans="1:11">
      <c r="A782" s="356" t="s">
        <v>47</v>
      </c>
      <c r="B782" s="2755">
        <f>'Part V-Revenues &amp; Expenses'!H824</f>
        <v>0</v>
      </c>
      <c r="C782" s="2755">
        <f>'Part V-Revenues &amp; Expenses'!I824</f>
        <v>0</v>
      </c>
      <c r="D782" s="2755">
        <f>'Part V-Revenues &amp; Expenses'!J824</f>
        <v>0</v>
      </c>
      <c r="E782" s="2755">
        <f>'Part V-Revenues &amp; Expenses'!K824</f>
        <v>0</v>
      </c>
      <c r="F782" s="2755">
        <f>'Part V-Revenues &amp; Expenses'!L824</f>
        <v>0</v>
      </c>
      <c r="G782" s="2755">
        <f>'Part V-Revenues &amp; Expenses'!M824</f>
        <v>0</v>
      </c>
      <c r="H782" s="2755">
        <f>'Part V-Revenues &amp; Expenses'!N824</f>
        <v>0</v>
      </c>
      <c r="I782" s="2755">
        <f>'Part V-Revenues &amp; Expenses'!O824</f>
        <v>0</v>
      </c>
      <c r="J782" s="2755">
        <f>'Part V-Revenues &amp; Expenses'!P824</f>
        <v>0</v>
      </c>
      <c r="K782" s="2755">
        <f>'Part V-Revenues &amp; Expenses'!Q824</f>
        <v>0</v>
      </c>
    </row>
    <row r="783" spans="1:11">
      <c r="A783" s="356" t="s">
        <v>48</v>
      </c>
      <c r="B783" s="2755">
        <f>'Part V-Revenues &amp; Expenses'!H828</f>
        <v>0</v>
      </c>
      <c r="C783" s="2755">
        <f>'Part V-Revenues &amp; Expenses'!I828</f>
        <v>0</v>
      </c>
      <c r="D783" s="2755">
        <f>'Part V-Revenues &amp; Expenses'!J828</f>
        <v>0</v>
      </c>
      <c r="E783" s="2755">
        <f>'Part V-Revenues &amp; Expenses'!K828</f>
        <v>0</v>
      </c>
      <c r="F783" s="2755">
        <f>'Part V-Revenues &amp; Expenses'!L828</f>
        <v>0</v>
      </c>
      <c r="G783" s="2755">
        <f>'Part V-Revenues &amp; Expenses'!M828</f>
        <v>0</v>
      </c>
      <c r="H783" s="2755">
        <f>'Part V-Revenues &amp; Expenses'!N828</f>
        <v>0</v>
      </c>
      <c r="I783" s="2755">
        <f>'Part V-Revenues &amp; Expenses'!O828</f>
        <v>0</v>
      </c>
      <c r="J783" s="2755">
        <f>'Part V-Revenues &amp; Expenses'!P828</f>
        <v>0</v>
      </c>
      <c r="K783" s="2755">
        <f>'Part V-Revenues &amp; Expenses'!Q828</f>
        <v>0</v>
      </c>
    </row>
    <row r="784" spans="1:11">
      <c r="A784" s="356" t="s">
        <v>3715</v>
      </c>
      <c r="B784" s="2755" t="e">
        <f t="shared" ref="B784:K784" si="409">SUM(B779:B783)</f>
        <v>#VALUE!</v>
      </c>
      <c r="C784" s="2755" t="e">
        <f t="shared" si="409"/>
        <v>#VALUE!</v>
      </c>
      <c r="D784" s="2755" t="e">
        <f t="shared" si="409"/>
        <v>#VALUE!</v>
      </c>
      <c r="E784" s="2755" t="e">
        <f t="shared" si="409"/>
        <v>#VALUE!</v>
      </c>
      <c r="F784" s="2755" t="e">
        <f t="shared" si="409"/>
        <v>#VALUE!</v>
      </c>
      <c r="G784" s="2755" t="e">
        <f t="shared" si="409"/>
        <v>#VALUE!</v>
      </c>
      <c r="H784" s="2755" t="e">
        <f t="shared" si="409"/>
        <v>#VALUE!</v>
      </c>
      <c r="I784" s="2755" t="e">
        <f t="shared" si="409"/>
        <v>#VALUE!</v>
      </c>
      <c r="J784" s="2755" t="e">
        <f t="shared" si="409"/>
        <v>#VALUE!</v>
      </c>
      <c r="K784" s="2755" t="e">
        <f t="shared" si="409"/>
        <v>#VALUE!</v>
      </c>
    </row>
    <row r="785" spans="1:11">
      <c r="A785" s="356" t="s">
        <v>571</v>
      </c>
      <c r="B785" s="2755" t="e">
        <f t="shared" ref="B785:K785" si="410">$B$21*(1+$B$7)^(B778-1)</f>
        <v>#VALUE!</v>
      </c>
      <c r="C785" s="2755" t="e">
        <f t="shared" si="410"/>
        <v>#VALUE!</v>
      </c>
      <c r="D785" s="2755" t="e">
        <f t="shared" si="410"/>
        <v>#VALUE!</v>
      </c>
      <c r="E785" s="2755" t="e">
        <f t="shared" si="410"/>
        <v>#VALUE!</v>
      </c>
      <c r="F785" s="2755" t="e">
        <f t="shared" si="410"/>
        <v>#VALUE!</v>
      </c>
      <c r="G785" s="2755" t="e">
        <f t="shared" si="410"/>
        <v>#VALUE!</v>
      </c>
      <c r="H785" s="2755" t="e">
        <f t="shared" si="410"/>
        <v>#VALUE!</v>
      </c>
      <c r="I785" s="2755" t="e">
        <f t="shared" si="410"/>
        <v>#VALUE!</v>
      </c>
      <c r="J785" s="2755" t="e">
        <f t="shared" si="410"/>
        <v>#VALUE!</v>
      </c>
      <c r="K785" s="2755" t="e">
        <f t="shared" si="410"/>
        <v>#VALUE!</v>
      </c>
    </row>
    <row r="786" spans="1:11">
      <c r="A786" s="356" t="s">
        <v>1049</v>
      </c>
      <c r="B786" s="2755" t="e">
        <f>IF(AND('Part VI-Pro Forma'!$G$9="Yes",'Part VI-Pro Forma'!$G$10="Yes"),"Choose One!",IF('Part VI-Pro Forma'!$G$9="Yes",ROUND((-$K$9*(1+'Part VI-Pro Forma'!$B$7)^('Part VI-Pro Forma'!B695-1)),),IF('Part VI-Pro Forma'!$G$10="Yes",ROUND((-(SUM(B779:B782)*'Part VI-Pro Forma'!$K$10)),),"Choose mgt fee")))</f>
        <v>#VALUE!</v>
      </c>
      <c r="C786" s="2755" t="e">
        <f>IF(AND('Part VI-Pro Forma'!$G$9="Yes",'Part VI-Pro Forma'!$G$10="Yes"),"Choose One!",IF('Part VI-Pro Forma'!$G$9="Yes",ROUND((-$K$9*(1+'Part VI-Pro Forma'!$B$7)^('Part VI-Pro Forma'!C695-1)),),IF('Part VI-Pro Forma'!$G$10="Yes",ROUND((-(SUM(C779:C782)*'Part VI-Pro Forma'!$K$10)),),"Choose mgt fee")))</f>
        <v>#VALUE!</v>
      </c>
      <c r="D786" s="2755" t="e">
        <f>IF(AND('Part VI-Pro Forma'!$G$9="Yes",'Part VI-Pro Forma'!$G$10="Yes"),"Choose One!",IF('Part VI-Pro Forma'!$G$9="Yes",ROUND((-$K$9*(1+'Part VI-Pro Forma'!$B$7)^('Part VI-Pro Forma'!D695-1)),),IF('Part VI-Pro Forma'!$G$10="Yes",ROUND((-(SUM(D779:D782)*'Part VI-Pro Forma'!$K$10)),),"Choose mgt fee")))</f>
        <v>#VALUE!</v>
      </c>
      <c r="E786" s="2755" t="e">
        <f>IF(AND('Part VI-Pro Forma'!$G$9="Yes",'Part VI-Pro Forma'!$G$10="Yes"),"Choose One!",IF('Part VI-Pro Forma'!$G$9="Yes",ROUND((-$K$9*(1+'Part VI-Pro Forma'!$B$7)^('Part VI-Pro Forma'!E695-1)),),IF('Part VI-Pro Forma'!$G$10="Yes",ROUND((-(SUM(E779:E782)*'Part VI-Pro Forma'!$K$10)),),"Choose mgt fee")))</f>
        <v>#VALUE!</v>
      </c>
      <c r="F786" s="2755" t="e">
        <f>IF(AND('Part VI-Pro Forma'!$G$9="Yes",'Part VI-Pro Forma'!$G$10="Yes"),"Choose One!",IF('Part VI-Pro Forma'!$G$9="Yes",ROUND((-$K$9*(1+'Part VI-Pro Forma'!$B$7)^('Part VI-Pro Forma'!F695-1)),),IF('Part VI-Pro Forma'!$G$10="Yes",ROUND((-(SUM(F779:F782)*'Part VI-Pro Forma'!$K$10)),),"Choose mgt fee")))</f>
        <v>#VALUE!</v>
      </c>
      <c r="G786" s="2755" t="e">
        <f>IF(AND('Part VI-Pro Forma'!$G$9="Yes",'Part VI-Pro Forma'!$G$10="Yes"),"Choose One!",IF('Part VI-Pro Forma'!$G$9="Yes",ROUND((-$K$9*(1+'Part VI-Pro Forma'!$B$7)^('Part VI-Pro Forma'!G695-1)),),IF('Part VI-Pro Forma'!$G$10="Yes",ROUND((-(SUM(G779:G782)*'Part VI-Pro Forma'!$K$10)),),"Choose mgt fee")))</f>
        <v>#VALUE!</v>
      </c>
      <c r="H786" s="2755" t="e">
        <f>IF(AND('Part VI-Pro Forma'!$G$9="Yes",'Part VI-Pro Forma'!$G$10="Yes"),"Choose One!",IF('Part VI-Pro Forma'!$G$9="Yes",ROUND((-$K$9*(1+'Part VI-Pro Forma'!$B$7)^('Part VI-Pro Forma'!H695-1)),),IF('Part VI-Pro Forma'!$G$10="Yes",ROUND((-(SUM(H779:H782)*'Part VI-Pro Forma'!$K$10)),),"Choose mgt fee")))</f>
        <v>#VALUE!</v>
      </c>
      <c r="I786" s="2755" t="e">
        <f>IF(AND('Part VI-Pro Forma'!$G$9="Yes",'Part VI-Pro Forma'!$G$10="Yes"),"Choose One!",IF('Part VI-Pro Forma'!$G$9="Yes",ROUND((-$K$9*(1+'Part VI-Pro Forma'!$B$7)^('Part VI-Pro Forma'!I695-1)),),IF('Part VI-Pro Forma'!$G$10="Yes",ROUND((-(SUM(I779:I782)*'Part VI-Pro Forma'!$K$10)),),"Choose mgt fee")))</f>
        <v>#VALUE!</v>
      </c>
      <c r="J786" s="2755" t="e">
        <f>IF(AND('Part VI-Pro Forma'!$G$9="Yes",'Part VI-Pro Forma'!$G$10="Yes"),"Choose One!",IF('Part VI-Pro Forma'!$G$9="Yes",ROUND((-$K$9*(1+'Part VI-Pro Forma'!$B$7)^('Part VI-Pro Forma'!J695-1)),),IF('Part VI-Pro Forma'!$G$10="Yes",ROUND((-(SUM(J779:J782)*'Part VI-Pro Forma'!$K$10)),),"Choose mgt fee")))</f>
        <v>#VALUE!</v>
      </c>
      <c r="K786" s="2755" t="e">
        <f>IF(AND('Part VI-Pro Forma'!$G$9="Yes",'Part VI-Pro Forma'!$G$10="Yes"),"Choose One!",IF('Part VI-Pro Forma'!$G$9="Yes",ROUND((-$K$9*(1+'Part VI-Pro Forma'!$B$7)^('Part VI-Pro Forma'!K695-1)),),IF('Part VI-Pro Forma'!$G$10="Yes",ROUND((-(SUM(K779:K782)*'Part VI-Pro Forma'!$K$10)),),"Choose mgt fee")))</f>
        <v>#VALUE!</v>
      </c>
    </row>
    <row r="787" spans="1:11">
      <c r="A787" s="356" t="s">
        <v>1127</v>
      </c>
      <c r="B787" s="2755" t="e">
        <f t="shared" ref="B787:K787" si="411">$B$23*(1+$B$8)^(B778-1)</f>
        <v>#VALUE!</v>
      </c>
      <c r="C787" s="2755" t="e">
        <f t="shared" si="411"/>
        <v>#VALUE!</v>
      </c>
      <c r="D787" s="2755" t="e">
        <f t="shared" si="411"/>
        <v>#VALUE!</v>
      </c>
      <c r="E787" s="2755" t="e">
        <f t="shared" si="411"/>
        <v>#VALUE!</v>
      </c>
      <c r="F787" s="2755" t="e">
        <f t="shared" si="411"/>
        <v>#VALUE!</v>
      </c>
      <c r="G787" s="2755" t="e">
        <f t="shared" si="411"/>
        <v>#VALUE!</v>
      </c>
      <c r="H787" s="2755" t="e">
        <f t="shared" si="411"/>
        <v>#VALUE!</v>
      </c>
      <c r="I787" s="2755" t="e">
        <f t="shared" si="411"/>
        <v>#VALUE!</v>
      </c>
      <c r="J787" s="2755" t="e">
        <f t="shared" si="411"/>
        <v>#VALUE!</v>
      </c>
      <c r="K787" s="2755" t="e">
        <f t="shared" si="411"/>
        <v>#VALUE!</v>
      </c>
    </row>
    <row r="788" spans="1:11">
      <c r="A788" s="356" t="s">
        <v>3714</v>
      </c>
      <c r="B788" s="2755">
        <f>'Part VI-Pro Forma'!B88</f>
        <v>0</v>
      </c>
      <c r="C788" s="2755">
        <f>'Part VI-Pro Forma'!C88</f>
        <v>0</v>
      </c>
      <c r="D788" s="2755">
        <f>'Part VI-Pro Forma'!D88</f>
        <v>0</v>
      </c>
      <c r="E788" s="2755">
        <f>'Part VI-Pro Forma'!E88</f>
        <v>0</v>
      </c>
      <c r="F788" s="2755">
        <f>'Part VI-Pro Forma'!F88</f>
        <v>0</v>
      </c>
      <c r="G788" s="2755">
        <f>'Part VI-Pro Forma'!G88</f>
        <v>0</v>
      </c>
      <c r="H788" s="2755">
        <f>'Part VI-Pro Forma'!H88</f>
        <v>0</v>
      </c>
      <c r="I788" s="2755">
        <f>'Part VI-Pro Forma'!I88</f>
        <v>0</v>
      </c>
      <c r="J788" s="2755">
        <f>'Part VI-Pro Forma'!J88</f>
        <v>0</v>
      </c>
      <c r="K788" s="2755">
        <f>'Part VI-Pro Forma'!K88</f>
        <v>0</v>
      </c>
    </row>
    <row r="789" spans="1:11">
      <c r="A789" s="356" t="s">
        <v>1128</v>
      </c>
      <c r="B789" s="2755" t="e">
        <f t="shared" ref="B789:K789" si="412">SUM(B784:B788)</f>
        <v>#VALUE!</v>
      </c>
      <c r="C789" s="2755" t="e">
        <f t="shared" si="412"/>
        <v>#VALUE!</v>
      </c>
      <c r="D789" s="2755" t="e">
        <f t="shared" si="412"/>
        <v>#VALUE!</v>
      </c>
      <c r="E789" s="2755" t="e">
        <f t="shared" si="412"/>
        <v>#VALUE!</v>
      </c>
      <c r="F789" s="2755" t="e">
        <f t="shared" si="412"/>
        <v>#VALUE!</v>
      </c>
      <c r="G789" s="2755" t="e">
        <f t="shared" si="412"/>
        <v>#VALUE!</v>
      </c>
      <c r="H789" s="2755" t="e">
        <f t="shared" si="412"/>
        <v>#VALUE!</v>
      </c>
      <c r="I789" s="2755" t="e">
        <f t="shared" si="412"/>
        <v>#VALUE!</v>
      </c>
      <c r="J789" s="2755" t="e">
        <f t="shared" si="412"/>
        <v>#VALUE!</v>
      </c>
      <c r="K789" s="2755" t="e">
        <f t="shared" si="412"/>
        <v>#VALUE!</v>
      </c>
    </row>
    <row r="790" spans="1:11">
      <c r="A790" s="356" t="str">
        <f>$A758</f>
        <v>Mortgage A</v>
      </c>
      <c r="B790" s="2755">
        <f>'Part VI-Pro Forma'!B90</f>
        <v>-406951.82316822727</v>
      </c>
      <c r="C790" s="2755">
        <f>'Part VI-Pro Forma'!C90</f>
        <v>-406951.82316822727</v>
      </c>
      <c r="D790" s="2755">
        <f>'Part VI-Pro Forma'!D90</f>
        <v>-406951.82316822727</v>
      </c>
      <c r="E790" s="2755">
        <f>'Part VI-Pro Forma'!E90</f>
        <v>-406951.82316822727</v>
      </c>
      <c r="F790" s="2755">
        <f>'Part VI-Pro Forma'!F90</f>
        <v>-406951.82316822727</v>
      </c>
      <c r="G790" s="2755">
        <f>'Part VI-Pro Forma'!G90</f>
        <v>-406951.82316822727</v>
      </c>
      <c r="H790" s="2755">
        <f>'Part VI-Pro Forma'!H90</f>
        <v>-406951.82316822727</v>
      </c>
      <c r="I790" s="2755">
        <f>'Part VI-Pro Forma'!I90</f>
        <v>-406951.82316822727</v>
      </c>
      <c r="J790" s="2755">
        <f>'Part VI-Pro Forma'!J90</f>
        <v>-406951.82316822727</v>
      </c>
      <c r="K790" s="2755">
        <f>'Part VI-Pro Forma'!K90</f>
        <v>-406951.82316822727</v>
      </c>
    </row>
    <row r="791" spans="1:11">
      <c r="A791" s="356" t="str">
        <f>$A759</f>
        <v>Mortgage B</v>
      </c>
      <c r="B791" s="2755">
        <f>'Part VI-Pro Forma'!B91</f>
        <v>-112121.53430529505</v>
      </c>
      <c r="C791" s="2755">
        <f>'Part VI-Pro Forma'!C91</f>
        <v>-24180</v>
      </c>
      <c r="D791" s="2755">
        <f>'Part VI-Pro Forma'!D91</f>
        <v>0</v>
      </c>
      <c r="E791" s="2755">
        <f>'Part VI-Pro Forma'!E91</f>
        <v>0</v>
      </c>
      <c r="F791" s="2755">
        <f>'Part VI-Pro Forma'!F91</f>
        <v>0</v>
      </c>
      <c r="G791" s="2755">
        <f>'Part VI-Pro Forma'!G91</f>
        <v>0</v>
      </c>
      <c r="H791" s="2755">
        <f>'Part VI-Pro Forma'!H91</f>
        <v>0</v>
      </c>
      <c r="I791" s="2755">
        <f>'Part VI-Pro Forma'!I91</f>
        <v>0</v>
      </c>
      <c r="J791" s="2755">
        <f>'Part VI-Pro Forma'!J91</f>
        <v>0</v>
      </c>
      <c r="K791" s="2755">
        <f>'Part VI-Pro Forma'!K91</f>
        <v>0</v>
      </c>
    </row>
    <row r="792" spans="1:11">
      <c r="A792" s="356" t="str">
        <f>$A760</f>
        <v>Mortgage C</v>
      </c>
      <c r="B792" s="2755">
        <f>'Part VI-Pro Forma'!B92</f>
        <v>0</v>
      </c>
      <c r="C792" s="2755">
        <f>'Part VI-Pro Forma'!C92</f>
        <v>0</v>
      </c>
      <c r="D792" s="2755">
        <f>'Part VI-Pro Forma'!D92</f>
        <v>0</v>
      </c>
      <c r="E792" s="2755">
        <f>'Part VI-Pro Forma'!E92</f>
        <v>0</v>
      </c>
      <c r="F792" s="2755">
        <f>'Part VI-Pro Forma'!F92</f>
        <v>0</v>
      </c>
      <c r="G792" s="2755">
        <f>'Part VI-Pro Forma'!G92</f>
        <v>0</v>
      </c>
      <c r="H792" s="2755">
        <f>'Part VI-Pro Forma'!H92</f>
        <v>0</v>
      </c>
      <c r="I792" s="2755">
        <f>'Part VI-Pro Forma'!I92</f>
        <v>0</v>
      </c>
      <c r="J792" s="2755">
        <f>'Part VI-Pro Forma'!J92</f>
        <v>0</v>
      </c>
      <c r="K792" s="2755">
        <f>'Part VI-Pro Forma'!K92</f>
        <v>0</v>
      </c>
    </row>
    <row r="793" spans="1:11">
      <c r="A793" s="356" t="str">
        <f>$A761</f>
        <v>D/S Other Source,not DDF</v>
      </c>
      <c r="B793" s="2755">
        <f>'Part VI-Pro Forma'!B94</f>
        <v>0</v>
      </c>
      <c r="C793" s="2755">
        <f>'Part VI-Pro Forma'!C93</f>
        <v>0</v>
      </c>
      <c r="D793" s="2755">
        <f>'Part VI-Pro Forma'!D93</f>
        <v>0</v>
      </c>
      <c r="E793" s="2755">
        <f>'Part VI-Pro Forma'!E93</f>
        <v>0</v>
      </c>
      <c r="F793" s="2755">
        <f>'Part VI-Pro Forma'!F93</f>
        <v>0</v>
      </c>
      <c r="G793" s="2755">
        <f>'Part VI-Pro Forma'!G93</f>
        <v>0</v>
      </c>
      <c r="H793" s="2755">
        <f>'Part VI-Pro Forma'!H93</f>
        <v>0</v>
      </c>
      <c r="I793" s="2755">
        <f>'Part VI-Pro Forma'!I93</f>
        <v>0</v>
      </c>
      <c r="J793" s="2755">
        <f>'Part VI-Pro Forma'!J93</f>
        <v>0</v>
      </c>
      <c r="K793" s="2755">
        <f>'Part VI-Pro Forma'!K93</f>
        <v>0</v>
      </c>
    </row>
    <row r="794" spans="1:11">
      <c r="A794" s="356" t="s">
        <v>710</v>
      </c>
      <c r="B794" s="2755"/>
      <c r="C794" s="2755"/>
      <c r="D794" s="2755"/>
      <c r="E794" s="2755"/>
      <c r="F794" s="2755"/>
      <c r="G794" s="2755"/>
      <c r="H794" s="2755"/>
      <c r="I794" s="2755"/>
      <c r="J794" s="2755"/>
      <c r="K794" s="2755"/>
    </row>
    <row r="795" spans="1:11">
      <c r="A795" s="356" t="s">
        <v>1094</v>
      </c>
      <c r="B795" s="2755">
        <f>'Part VI-Pro Forma'!B95</f>
        <v>0</v>
      </c>
      <c r="C795" s="2755">
        <f>'Part VI-Pro Forma'!C95</f>
        <v>0</v>
      </c>
      <c r="D795" s="2755">
        <f>'Part VI-Pro Forma'!D95</f>
        <v>0</v>
      </c>
      <c r="E795" s="2755">
        <f>'Part VI-Pro Forma'!E95</f>
        <v>0</v>
      </c>
      <c r="F795" s="2755">
        <f>'Part VI-Pro Forma'!F95</f>
        <v>0</v>
      </c>
      <c r="G795" s="2755">
        <f>'Part VI-Pro Forma'!G95</f>
        <v>0</v>
      </c>
      <c r="H795" s="2755">
        <f>'Part VI-Pro Forma'!H95</f>
        <v>0</v>
      </c>
      <c r="I795" s="2755">
        <f>'Part VI-Pro Forma'!I95</f>
        <v>0</v>
      </c>
      <c r="J795" s="2755">
        <f>'Part VI-Pro Forma'!J95</f>
        <v>0</v>
      </c>
      <c r="K795" s="2755">
        <f>'Part VI-Pro Forma'!K95</f>
        <v>0</v>
      </c>
    </row>
    <row r="796" spans="1:11">
      <c r="A796" s="356" t="s">
        <v>1095</v>
      </c>
      <c r="B796" s="2755">
        <f>'Part VI-Pro Forma'!B96</f>
        <v>112121.77710215199</v>
      </c>
      <c r="C796" s="2755">
        <f>'Part VI-Pro Forma'!C96</f>
        <v>202439.31895344652</v>
      </c>
      <c r="D796" s="2755">
        <f>'Part VI-Pro Forma'!D96</f>
        <v>228735.01039599994</v>
      </c>
      <c r="E796" s="2755">
        <f>'Part VI-Pro Forma'!E96</f>
        <v>230576.5163254083</v>
      </c>
      <c r="F796" s="2755">
        <f>'Part VI-Pro Forma'!F96</f>
        <v>232129.41325114894</v>
      </c>
      <c r="G796" s="2755">
        <f>'Part VI-Pro Forma'!G96</f>
        <v>233376.7042194801</v>
      </c>
      <c r="H796" s="2755">
        <f>'Part VI-Pro Forma'!H96</f>
        <v>234303.79879437602</v>
      </c>
      <c r="I796" s="2755">
        <f>'Part VI-Pro Forma'!I96</f>
        <v>234892.49238158419</v>
      </c>
      <c r="J796" s="2755">
        <f>'Part VI-Pro Forma'!J96</f>
        <v>235124.94487497577</v>
      </c>
      <c r="K796" s="2755">
        <f>'Part VI-Pro Forma'!K96</f>
        <v>234984.65860370704</v>
      </c>
    </row>
    <row r="797" spans="1:11">
      <c r="A797" s="356" t="str">
        <f>$A766</f>
        <v>DCR Mortgage A</v>
      </c>
      <c r="B797" s="2756" t="e">
        <f t="shared" ref="B797:K797" si="413">IF(B790=0,"",-B789/B790)</f>
        <v>#VALUE!</v>
      </c>
      <c r="C797" s="2756" t="e">
        <f t="shared" si="413"/>
        <v>#VALUE!</v>
      </c>
      <c r="D797" s="2756" t="e">
        <f t="shared" si="413"/>
        <v>#VALUE!</v>
      </c>
      <c r="E797" s="2756" t="e">
        <f t="shared" si="413"/>
        <v>#VALUE!</v>
      </c>
      <c r="F797" s="2756" t="e">
        <f t="shared" si="413"/>
        <v>#VALUE!</v>
      </c>
      <c r="G797" s="2756" t="e">
        <f t="shared" si="413"/>
        <v>#VALUE!</v>
      </c>
      <c r="H797" s="2756" t="e">
        <f t="shared" si="413"/>
        <v>#VALUE!</v>
      </c>
      <c r="I797" s="2756" t="e">
        <f t="shared" si="413"/>
        <v>#VALUE!</v>
      </c>
      <c r="J797" s="2756" t="e">
        <f t="shared" si="413"/>
        <v>#VALUE!</v>
      </c>
      <c r="K797" s="2756" t="e">
        <f t="shared" si="413"/>
        <v>#VALUE!</v>
      </c>
    </row>
    <row r="798" spans="1:11">
      <c r="A798" s="356" t="str">
        <f>$A767</f>
        <v>DCR Mortgage B</v>
      </c>
      <c r="B798" s="2756" t="e">
        <f t="shared" ref="B798:K798" si="414">IF(B791=0,"",-(B789+B790)/B791)</f>
        <v>#VALUE!</v>
      </c>
      <c r="C798" s="2756" t="e">
        <f t="shared" si="414"/>
        <v>#VALUE!</v>
      </c>
      <c r="D798" s="2756" t="str">
        <f t="shared" si="414"/>
        <v/>
      </c>
      <c r="E798" s="2756" t="str">
        <f t="shared" si="414"/>
        <v/>
      </c>
      <c r="F798" s="2756" t="str">
        <f t="shared" si="414"/>
        <v/>
      </c>
      <c r="G798" s="2756" t="str">
        <f t="shared" si="414"/>
        <v/>
      </c>
      <c r="H798" s="2756" t="str">
        <f t="shared" si="414"/>
        <v/>
      </c>
      <c r="I798" s="2756" t="str">
        <f t="shared" si="414"/>
        <v/>
      </c>
      <c r="J798" s="2756" t="str">
        <f t="shared" si="414"/>
        <v/>
      </c>
      <c r="K798" s="2756" t="str">
        <f t="shared" si="414"/>
        <v/>
      </c>
    </row>
    <row r="799" spans="1:11">
      <c r="A799" s="356" t="str">
        <f>$A768</f>
        <v>DCR Mortgage C</v>
      </c>
      <c r="B799" s="2756" t="str">
        <f t="shared" ref="B799:K799" si="415">IF(B792=0,"",-(B789+B790+B791)/B792)</f>
        <v/>
      </c>
      <c r="C799" s="2756" t="str">
        <f t="shared" si="415"/>
        <v/>
      </c>
      <c r="D799" s="2756" t="str">
        <f t="shared" si="415"/>
        <v/>
      </c>
      <c r="E799" s="2756" t="str">
        <f t="shared" si="415"/>
        <v/>
      </c>
      <c r="F799" s="2756" t="str">
        <f t="shared" si="415"/>
        <v/>
      </c>
      <c r="G799" s="2756" t="str">
        <f t="shared" si="415"/>
        <v/>
      </c>
      <c r="H799" s="2756" t="str">
        <f t="shared" si="415"/>
        <v/>
      </c>
      <c r="I799" s="2756" t="str">
        <f t="shared" si="415"/>
        <v/>
      </c>
      <c r="J799" s="2756" t="str">
        <f t="shared" si="415"/>
        <v/>
      </c>
      <c r="K799" s="2756" t="str">
        <f t="shared" si="415"/>
        <v/>
      </c>
    </row>
    <row r="800" spans="1:11">
      <c r="A800" s="356" t="str">
        <f>$A769</f>
        <v>DCR Other Source</v>
      </c>
      <c r="B800" s="2756" t="str">
        <f t="shared" ref="B800:K800" si="416">IF(B793=0,"",-(B789+B790+B791+B792)/B793)</f>
        <v/>
      </c>
      <c r="C800" s="2756" t="str">
        <f t="shared" si="416"/>
        <v/>
      </c>
      <c r="D800" s="2756" t="str">
        <f t="shared" si="416"/>
        <v/>
      </c>
      <c r="E800" s="2756" t="str">
        <f t="shared" si="416"/>
        <v/>
      </c>
      <c r="F800" s="2756" t="str">
        <f t="shared" si="416"/>
        <v/>
      </c>
      <c r="G800" s="2756" t="str">
        <f t="shared" si="416"/>
        <v/>
      </c>
      <c r="H800" s="2756" t="str">
        <f t="shared" si="416"/>
        <v/>
      </c>
      <c r="I800" s="2756" t="str">
        <f t="shared" si="416"/>
        <v/>
      </c>
      <c r="J800" s="2756" t="str">
        <f t="shared" si="416"/>
        <v/>
      </c>
      <c r="K800" s="2756" t="str">
        <f t="shared" si="416"/>
        <v/>
      </c>
    </row>
    <row r="801" spans="1:11">
      <c r="A801" s="356" t="s">
        <v>3129</v>
      </c>
      <c r="B801" s="2756" t="e">
        <f t="shared" ref="B801:K801" si="417">IF(AND(B790=0,B791=0,B792=0,B793=0),"",-B789/(B790+B791+B792+B793))</f>
        <v>#VALUE!</v>
      </c>
      <c r="C801" s="2756" t="e">
        <f t="shared" si="417"/>
        <v>#VALUE!</v>
      </c>
      <c r="D801" s="2756" t="e">
        <f t="shared" si="417"/>
        <v>#VALUE!</v>
      </c>
      <c r="E801" s="2756" t="e">
        <f t="shared" si="417"/>
        <v>#VALUE!</v>
      </c>
      <c r="F801" s="2756" t="e">
        <f t="shared" si="417"/>
        <v>#VALUE!</v>
      </c>
      <c r="G801" s="2756" t="e">
        <f t="shared" si="417"/>
        <v>#VALUE!</v>
      </c>
      <c r="H801" s="2756" t="e">
        <f t="shared" si="417"/>
        <v>#VALUE!</v>
      </c>
      <c r="I801" s="2756" t="e">
        <f t="shared" si="417"/>
        <v>#VALUE!</v>
      </c>
      <c r="J801" s="2756" t="e">
        <f t="shared" si="417"/>
        <v>#VALUE!</v>
      </c>
      <c r="K801" s="2756" t="e">
        <f t="shared" si="417"/>
        <v>#VALUE!</v>
      </c>
    </row>
    <row r="802" spans="1:11">
      <c r="A802" s="356" t="s">
        <v>717</v>
      </c>
      <c r="B802" s="2757" t="e">
        <f>IF(OR(B786="Choose mgt fee",B786="Choose One!"),"",(B779+B780+B781+B782+B783) / -(B785+B786+B787))</f>
        <v>#VALUE!</v>
      </c>
      <c r="C802" s="2757" t="e">
        <f t="shared" ref="C802:K802" si="418">IF(OR(C786="Choose mgt fee",C786="Choose One!"),"",(C779+C780+C781+C782+C783) / -(C785+C786+C787))</f>
        <v>#VALUE!</v>
      </c>
      <c r="D802" s="2757" t="e">
        <f t="shared" si="418"/>
        <v>#VALUE!</v>
      </c>
      <c r="E802" s="2757" t="e">
        <f t="shared" si="418"/>
        <v>#VALUE!</v>
      </c>
      <c r="F802" s="2757" t="e">
        <f t="shared" si="418"/>
        <v>#VALUE!</v>
      </c>
      <c r="G802" s="2757" t="e">
        <f t="shared" si="418"/>
        <v>#VALUE!</v>
      </c>
      <c r="H802" s="2757" t="e">
        <f t="shared" si="418"/>
        <v>#VALUE!</v>
      </c>
      <c r="I802" s="2757" t="e">
        <f t="shared" si="418"/>
        <v>#VALUE!</v>
      </c>
      <c r="J802" s="2757" t="e">
        <f t="shared" si="418"/>
        <v>#VALUE!</v>
      </c>
      <c r="K802" s="2757" t="e">
        <f t="shared" si="418"/>
        <v>#VALUE!</v>
      </c>
    </row>
    <row r="803" spans="1:11">
      <c r="A803" s="356" t="s">
        <v>2399</v>
      </c>
      <c r="B803" s="2755">
        <f>'Part VI-Pro Forma'!B103</f>
        <v>4139421.8225131715</v>
      </c>
      <c r="C803" s="2755">
        <f>'Part VI-Pro Forma'!C103</f>
        <v>4036149.8957515499</v>
      </c>
      <c r="D803" s="2755">
        <f>'Part VI-Pro Forma'!D103</f>
        <v>3924949.1470591808</v>
      </c>
      <c r="E803" s="2755">
        <f>'Part VI-Pro Forma'!E103</f>
        <v>3805210.8319381084</v>
      </c>
      <c r="F803" s="2755">
        <f>'Part VI-Pro Forma'!F103</f>
        <v>3676279.4688256476</v>
      </c>
      <c r="G803" s="2755">
        <f>'Part VI-Pro Forma'!G103</f>
        <v>3537449.2508020462</v>
      </c>
      <c r="H803" s="2755">
        <f>'Part VI-Pro Forma'!H103</f>
        <v>3387960.1818028372</v>
      </c>
      <c r="I803" s="2755">
        <f>'Part VI-Pro Forma'!I103</f>
        <v>3226993.9161844165</v>
      </c>
      <c r="J803" s="2755">
        <f>'Part VI-Pro Forma'!J103</f>
        <v>3053669.2788674431</v>
      </c>
      <c r="K803" s="2755">
        <f>'Part VI-Pro Forma'!K103</f>
        <v>2867037.4415340531</v>
      </c>
    </row>
    <row r="804" spans="1:11">
      <c r="A804" s="356" t="s">
        <v>2400</v>
      </c>
      <c r="B804" s="2755">
        <f>'Part VI-Pro Forma'!B104</f>
        <v>59141.176816970546</v>
      </c>
      <c r="C804" s="2755">
        <f>'Part VI-Pro Forma'!C104</f>
        <v>0</v>
      </c>
      <c r="D804" s="2755">
        <f>'Part VI-Pro Forma'!D104</f>
        <v>0</v>
      </c>
      <c r="E804" s="2755">
        <f>'Part VI-Pro Forma'!E104</f>
        <v>0</v>
      </c>
      <c r="F804" s="2755">
        <f>'Part VI-Pro Forma'!F104</f>
        <v>0</v>
      </c>
      <c r="G804" s="2755">
        <f>'Part VI-Pro Forma'!G104</f>
        <v>0</v>
      </c>
      <c r="H804" s="2755">
        <f>'Part VI-Pro Forma'!H104</f>
        <v>0</v>
      </c>
      <c r="I804" s="2755">
        <f>'Part VI-Pro Forma'!I104</f>
        <v>0</v>
      </c>
      <c r="J804" s="2755">
        <f>'Part VI-Pro Forma'!J104</f>
        <v>0</v>
      </c>
      <c r="K804" s="2755">
        <f>'Part VI-Pro Forma'!K104</f>
        <v>0</v>
      </c>
    </row>
    <row r="805" spans="1:11">
      <c r="A805" s="356" t="s">
        <v>2401</v>
      </c>
      <c r="B805" s="2755" t="str">
        <f>'Part VI-Pro Forma'!B105</f>
        <v/>
      </c>
      <c r="C805" s="2755" t="str">
        <f>'Part VI-Pro Forma'!C105</f>
        <v/>
      </c>
      <c r="D805" s="2755" t="str">
        <f>'Part VI-Pro Forma'!D105</f>
        <v/>
      </c>
      <c r="E805" s="2755" t="str">
        <f>'Part VI-Pro Forma'!E105</f>
        <v/>
      </c>
      <c r="F805" s="2755" t="str">
        <f>'Part VI-Pro Forma'!F105</f>
        <v/>
      </c>
      <c r="G805" s="2755" t="str">
        <f>'Part VI-Pro Forma'!G105</f>
        <v/>
      </c>
      <c r="H805" s="2755" t="str">
        <f>'Part VI-Pro Forma'!H105</f>
        <v/>
      </c>
      <c r="I805" s="2755" t="str">
        <f>'Part VI-Pro Forma'!I105</f>
        <v/>
      </c>
      <c r="J805" s="2755" t="str">
        <f>'Part VI-Pro Forma'!J105</f>
        <v/>
      </c>
      <c r="K805" s="2755" t="str">
        <f>'Part VI-Pro Forma'!K105</f>
        <v/>
      </c>
    </row>
    <row r="806" spans="1:11">
      <c r="A806" s="356" t="s">
        <v>729</v>
      </c>
      <c r="B806" s="2755" t="str">
        <f>'Part VI-Pro Forma'!B106</f>
        <v/>
      </c>
      <c r="C806" s="2755" t="str">
        <f>'Part VI-Pro Forma'!C106</f>
        <v/>
      </c>
      <c r="D806" s="2755" t="str">
        <f>'Part VI-Pro Forma'!D106</f>
        <v/>
      </c>
      <c r="E806" s="2755" t="str">
        <f>'Part VI-Pro Forma'!E106</f>
        <v/>
      </c>
      <c r="F806" s="2755" t="str">
        <f>'Part VI-Pro Forma'!F106</f>
        <v/>
      </c>
      <c r="G806" s="2755" t="str">
        <f>'Part VI-Pro Forma'!G106</f>
        <v/>
      </c>
      <c r="H806" s="2755" t="str">
        <f>'Part VI-Pro Forma'!H106</f>
        <v/>
      </c>
      <c r="I806" s="2755" t="str">
        <f>'Part VI-Pro Forma'!I106</f>
        <v/>
      </c>
      <c r="J806" s="2755" t="str">
        <f>'Part VI-Pro Forma'!J106</f>
        <v/>
      </c>
      <c r="K806" s="2755" t="str">
        <f>'Part VI-Pro Forma'!K106</f>
        <v/>
      </c>
    </row>
    <row r="807" spans="1:11">
      <c r="B807" s="2755"/>
      <c r="C807" s="2755"/>
      <c r="D807" s="2755"/>
      <c r="E807" s="2755"/>
      <c r="F807" s="2755"/>
      <c r="G807" s="2755"/>
      <c r="H807" s="2755"/>
      <c r="I807" s="2755"/>
      <c r="J807" s="2755"/>
      <c r="K807" s="2755"/>
    </row>
    <row r="808" spans="1:11">
      <c r="A808" s="360" t="s">
        <v>2278</v>
      </c>
      <c r="B808" s="2758">
        <f>K778+1</f>
        <v>31</v>
      </c>
      <c r="C808" s="2758">
        <f>B808+1</f>
        <v>32</v>
      </c>
      <c r="D808" s="2758">
        <f>C808+1</f>
        <v>33</v>
      </c>
      <c r="E808" s="2758">
        <f>D808+1</f>
        <v>34</v>
      </c>
      <c r="F808" s="2758">
        <f>E808+1</f>
        <v>35</v>
      </c>
      <c r="G808" s="2755"/>
      <c r="H808" s="2755"/>
      <c r="I808" s="2755"/>
      <c r="J808" s="2755"/>
      <c r="K808" s="2755"/>
    </row>
    <row r="809" spans="1:11">
      <c r="A809" s="356" t="s">
        <v>2209</v>
      </c>
      <c r="B809" s="2755" t="e">
        <f>$B$15*(1+$B$6)^(B808-1)</f>
        <v>#VALUE!</v>
      </c>
      <c r="C809" s="2755" t="e">
        <f>$B$15*(1+$B$6)^(C808-1)</f>
        <v>#VALUE!</v>
      </c>
      <c r="D809" s="2755" t="e">
        <f>$B$15*(1+$B$6)^(D808-1)</f>
        <v>#VALUE!</v>
      </c>
      <c r="E809" s="2755" t="e">
        <f>$B$15*(1+$B$6)^(E808-1)</f>
        <v>#VALUE!</v>
      </c>
      <c r="F809" s="2755" t="e">
        <f>$B$15*(1+$B$6)^(F808-1)</f>
        <v>#VALUE!</v>
      </c>
      <c r="G809" s="2755"/>
      <c r="H809" s="2755"/>
      <c r="I809" s="2755"/>
      <c r="J809" s="2755"/>
      <c r="K809" s="2755"/>
    </row>
    <row r="810" spans="1:11">
      <c r="A810" s="356" t="s">
        <v>951</v>
      </c>
      <c r="B810" s="2755" t="e">
        <f>$B$16*(1+$B$6)^(B808-1)</f>
        <v>#VALUE!</v>
      </c>
      <c r="C810" s="2755" t="e">
        <f>$B$16*(1+$B$6)^(C808-1)</f>
        <v>#VALUE!</v>
      </c>
      <c r="D810" s="2755" t="e">
        <f>$B$16*(1+$B$6)^(D808-1)</f>
        <v>#VALUE!</v>
      </c>
      <c r="E810" s="2755" t="e">
        <f>$B$16*(1+$B$6)^(E808-1)</f>
        <v>#VALUE!</v>
      </c>
      <c r="F810" s="2755" t="e">
        <f>$B$16*(1+$B$6)^(F808-1)</f>
        <v>#VALUE!</v>
      </c>
      <c r="G810" s="2755"/>
      <c r="H810" s="2755"/>
      <c r="I810" s="2755"/>
      <c r="J810" s="2755"/>
      <c r="K810" s="2755"/>
    </row>
    <row r="811" spans="1:11">
      <c r="A811" s="356" t="s">
        <v>2210</v>
      </c>
      <c r="B811" s="2755" t="e">
        <f>-(B809+B810)*$B$9</f>
        <v>#VALUE!</v>
      </c>
      <c r="C811" s="2755" t="e">
        <f>-(C809+C810)*$B$9</f>
        <v>#VALUE!</v>
      </c>
      <c r="D811" s="2755" t="e">
        <f>-(D809+D810)*$B$9</f>
        <v>#VALUE!</v>
      </c>
      <c r="E811" s="2755" t="e">
        <f>-(E809+E810)*$B$9</f>
        <v>#VALUE!</v>
      </c>
      <c r="F811" s="2755" t="e">
        <f>-(F809+F810)*$B$9</f>
        <v>#VALUE!</v>
      </c>
      <c r="G811" s="2755"/>
      <c r="H811" s="2755"/>
      <c r="I811" s="2755"/>
      <c r="J811" s="2755"/>
      <c r="K811" s="2755"/>
    </row>
    <row r="812" spans="1:11">
      <c r="A812" s="356" t="s">
        <v>47</v>
      </c>
      <c r="B812" s="2755">
        <f>'Part V-Revenues &amp; Expenses'!H833</f>
        <v>0</v>
      </c>
      <c r="C812" s="2755">
        <f>'Part V-Revenues &amp; Expenses'!I833</f>
        <v>0</v>
      </c>
      <c r="D812" s="2755">
        <f>'Part V-Revenues &amp; Expenses'!J833</f>
        <v>0</v>
      </c>
      <c r="E812" s="2755">
        <f>'Part V-Revenues &amp; Expenses'!K833</f>
        <v>0</v>
      </c>
      <c r="F812" s="2755">
        <f>'Part V-Revenues &amp; Expenses'!L833</f>
        <v>0</v>
      </c>
      <c r="G812" s="2755"/>
      <c r="H812" s="2755"/>
      <c r="I812" s="2755"/>
      <c r="J812" s="2755"/>
      <c r="K812" s="2755"/>
    </row>
    <row r="813" spans="1:11">
      <c r="A813" s="356" t="s">
        <v>48</v>
      </c>
      <c r="B813" s="2755">
        <f>'Part V-Revenues &amp; Expenses'!H837</f>
        <v>0</v>
      </c>
      <c r="C813" s="2755">
        <f>'Part V-Revenues &amp; Expenses'!I837</f>
        <v>0</v>
      </c>
      <c r="D813" s="2755">
        <f>'Part V-Revenues &amp; Expenses'!J837</f>
        <v>0</v>
      </c>
      <c r="E813" s="2755">
        <f>'Part V-Revenues &amp; Expenses'!K837</f>
        <v>0</v>
      </c>
      <c r="F813" s="2755">
        <f>'Part V-Revenues &amp; Expenses'!L837</f>
        <v>0</v>
      </c>
      <c r="G813" s="2755"/>
      <c r="H813" s="2755"/>
      <c r="I813" s="2755"/>
      <c r="J813" s="2755"/>
      <c r="K813" s="2755"/>
    </row>
    <row r="814" spans="1:11">
      <c r="A814" s="356" t="s">
        <v>3715</v>
      </c>
      <c r="B814" s="2755" t="e">
        <f>SUM(B809:B813)</f>
        <v>#VALUE!</v>
      </c>
      <c r="C814" s="2755" t="e">
        <f>SUM(C809:C813)</f>
        <v>#VALUE!</v>
      </c>
      <c r="D814" s="2755" t="e">
        <f>SUM(D809:D813)</f>
        <v>#VALUE!</v>
      </c>
      <c r="E814" s="2755" t="e">
        <f>SUM(E809:E813)</f>
        <v>#VALUE!</v>
      </c>
      <c r="F814" s="2755" t="e">
        <f>SUM(F809:F813)</f>
        <v>#VALUE!</v>
      </c>
      <c r="G814" s="2755"/>
      <c r="H814" s="2755"/>
      <c r="I814" s="2755"/>
      <c r="J814" s="2755"/>
      <c r="K814" s="2755"/>
    </row>
    <row r="815" spans="1:11">
      <c r="A815" s="356" t="s">
        <v>571</v>
      </c>
      <c r="B815" s="2755" t="e">
        <f>$B$21*(1+$B$7)^(B808-1)</f>
        <v>#VALUE!</v>
      </c>
      <c r="C815" s="2755" t="e">
        <f>$B$21*(1+$B$7)^(C808-1)</f>
        <v>#VALUE!</v>
      </c>
      <c r="D815" s="2755" t="e">
        <f>$B$21*(1+$B$7)^(D808-1)</f>
        <v>#VALUE!</v>
      </c>
      <c r="E815" s="2755" t="e">
        <f>$B$21*(1+$B$7)^(E808-1)</f>
        <v>#VALUE!</v>
      </c>
      <c r="F815" s="2755" t="e">
        <f>$B$21*(1+$B$7)^(F808-1)</f>
        <v>#VALUE!</v>
      </c>
      <c r="G815" s="2755"/>
      <c r="H815" s="2755"/>
      <c r="I815" s="2755"/>
      <c r="J815" s="2755"/>
      <c r="K815" s="2755"/>
    </row>
    <row r="816" spans="1:11">
      <c r="A816" s="356" t="s">
        <v>1049</v>
      </c>
      <c r="B816" s="2755" t="e">
        <f>IF(AND('Part VI-Pro Forma'!$G$9="Yes",'Part VI-Pro Forma'!$G$10="Yes"),"Choose One!",IF('Part VI-Pro Forma'!$G$9="Yes",ROUND((-$K$9*(1+'Part VI-Pro Forma'!$B$7)^('Part VI-Pro Forma'!B725-1)),),IF('Part VI-Pro Forma'!$G$10="Yes",ROUND((-(SUM(B809:B812)*'Part VI-Pro Forma'!$K$10)),),"Choose mgt fee")))</f>
        <v>#VALUE!</v>
      </c>
      <c r="C816" s="2755" t="e">
        <f>IF(AND('Part VI-Pro Forma'!$G$9="Yes",'Part VI-Pro Forma'!$G$10="Yes"),"Choose One!",IF('Part VI-Pro Forma'!$G$9="Yes",ROUND((-$K$9*(1+'Part VI-Pro Forma'!$B$7)^('Part VI-Pro Forma'!C725-1)),),IF('Part VI-Pro Forma'!$G$10="Yes",ROUND((-(SUM(C809:C812)*'Part VI-Pro Forma'!$K$10)),),"Choose mgt fee")))</f>
        <v>#VALUE!</v>
      </c>
      <c r="D816" s="2755" t="e">
        <f>IF(AND('Part VI-Pro Forma'!$G$9="Yes",'Part VI-Pro Forma'!$G$10="Yes"),"Choose One!",IF('Part VI-Pro Forma'!$G$9="Yes",ROUND((-$K$9*(1+'Part VI-Pro Forma'!$B$7)^('Part VI-Pro Forma'!D725-1)),),IF('Part VI-Pro Forma'!$G$10="Yes",ROUND((-(SUM(D809:D812)*'Part VI-Pro Forma'!$K$10)),),"Choose mgt fee")))</f>
        <v>#VALUE!</v>
      </c>
      <c r="E816" s="2755" t="e">
        <f>IF(AND('Part VI-Pro Forma'!$G$9="Yes",'Part VI-Pro Forma'!$G$10="Yes"),"Choose One!",IF('Part VI-Pro Forma'!$G$9="Yes",ROUND((-$K$9*(1+'Part VI-Pro Forma'!$B$7)^('Part VI-Pro Forma'!E725-1)),),IF('Part VI-Pro Forma'!$G$10="Yes",ROUND((-(SUM(E809:E812)*'Part VI-Pro Forma'!$K$10)),),"Choose mgt fee")))</f>
        <v>#VALUE!</v>
      </c>
      <c r="F816" s="2755" t="e">
        <f>IF(AND('Part VI-Pro Forma'!$G$9="Yes",'Part VI-Pro Forma'!$G$10="Yes"),"Choose One!",IF('Part VI-Pro Forma'!$G$9="Yes",ROUND((-$K$9*(1+'Part VI-Pro Forma'!$B$7)^('Part VI-Pro Forma'!F725-1)),),IF('Part VI-Pro Forma'!$G$10="Yes",ROUND((-(SUM(F809:F812)*'Part VI-Pro Forma'!$K$10)),),"Choose mgt fee")))</f>
        <v>#VALUE!</v>
      </c>
      <c r="G816" s="2755"/>
      <c r="H816" s="2755"/>
      <c r="I816" s="2755"/>
      <c r="J816" s="2755"/>
      <c r="K816" s="2755"/>
    </row>
    <row r="817" spans="1:11">
      <c r="A817" s="356" t="s">
        <v>1127</v>
      </c>
      <c r="B817" s="2755" t="e">
        <f>$B$23*(1+$B$8)^(B808-1)</f>
        <v>#VALUE!</v>
      </c>
      <c r="C817" s="2755" t="e">
        <f>$B$23*(1+$B$8)^(C808-1)</f>
        <v>#VALUE!</v>
      </c>
      <c r="D817" s="2755" t="e">
        <f>$B$23*(1+$B$8)^(D808-1)</f>
        <v>#VALUE!</v>
      </c>
      <c r="E817" s="2755" t="e">
        <f>$B$23*(1+$B$8)^(E808-1)</f>
        <v>#VALUE!</v>
      </c>
      <c r="F817" s="2755" t="e">
        <f>$B$23*(1+$B$8)^(F808-1)</f>
        <v>#VALUE!</v>
      </c>
      <c r="G817" s="2755"/>
      <c r="H817" s="2755"/>
      <c r="I817" s="2755"/>
      <c r="J817" s="2755"/>
      <c r="K817" s="2755"/>
    </row>
    <row r="818" spans="1:11">
      <c r="A818" s="356" t="s">
        <v>3714</v>
      </c>
      <c r="B818" s="2755">
        <f>'Part VI-Pro Forma'!B118</f>
        <v>0</v>
      </c>
      <c r="C818" s="2755">
        <f>'Part VI-Pro Forma'!C118</f>
        <v>0</v>
      </c>
      <c r="D818" s="2755">
        <f>'Part VI-Pro Forma'!D118</f>
        <v>0</v>
      </c>
      <c r="E818" s="2755">
        <f>'Part VI-Pro Forma'!E118</f>
        <v>0</v>
      </c>
      <c r="F818" s="2755">
        <f>'Part VI-Pro Forma'!F118</f>
        <v>0</v>
      </c>
      <c r="G818" s="2755"/>
      <c r="H818" s="2755"/>
      <c r="I818" s="2755"/>
      <c r="J818" s="2755"/>
      <c r="K818" s="2755"/>
    </row>
    <row r="819" spans="1:11">
      <c r="A819" s="356" t="s">
        <v>1128</v>
      </c>
      <c r="B819" s="2755" t="e">
        <f>SUM(B814:B818)</f>
        <v>#VALUE!</v>
      </c>
      <c r="C819" s="2755" t="e">
        <f>SUM(C814:C818)</f>
        <v>#VALUE!</v>
      </c>
      <c r="D819" s="2755" t="e">
        <f>SUM(D814:D818)</f>
        <v>#VALUE!</v>
      </c>
      <c r="E819" s="2755" t="e">
        <f>SUM(E814:E818)</f>
        <v>#VALUE!</v>
      </c>
      <c r="F819" s="2755" t="e">
        <f>SUM(F814:F818)</f>
        <v>#VALUE!</v>
      </c>
      <c r="G819" s="2755"/>
      <c r="H819" s="2755"/>
      <c r="I819" s="2755"/>
      <c r="J819" s="2755"/>
      <c r="K819" s="2755"/>
    </row>
    <row r="820" spans="1:11">
      <c r="A820" s="356" t="str">
        <f>$A790</f>
        <v>Mortgage A</v>
      </c>
      <c r="B820" s="2755">
        <f>'Part VI-Pro Forma'!B120</f>
        <v>-406951.82316822727</v>
      </c>
      <c r="C820" s="2755">
        <f>'Part VI-Pro Forma'!C120</f>
        <v>-406951.82316822727</v>
      </c>
      <c r="D820" s="2755">
        <f>'Part VI-Pro Forma'!D120</f>
        <v>-406951.82316822727</v>
      </c>
      <c r="E820" s="2755">
        <f>'Part VI-Pro Forma'!E120</f>
        <v>-406951.82316822727</v>
      </c>
      <c r="F820" s="2755">
        <f>'Part VI-Pro Forma'!F120</f>
        <v>-406951.82316822727</v>
      </c>
      <c r="G820" s="2755"/>
      <c r="H820" s="2755"/>
      <c r="I820" s="2755"/>
      <c r="J820" s="2755"/>
      <c r="K820" s="2755"/>
    </row>
    <row r="821" spans="1:11">
      <c r="A821" s="356" t="str">
        <f>$A791</f>
        <v>Mortgage B</v>
      </c>
      <c r="B821" s="2755">
        <f>'Part VI-Pro Forma'!B121</f>
        <v>0</v>
      </c>
      <c r="C821" s="2755">
        <f>'Part VI-Pro Forma'!C121</f>
        <v>0</v>
      </c>
      <c r="D821" s="2755">
        <f>'Part VI-Pro Forma'!D121</f>
        <v>0</v>
      </c>
      <c r="E821" s="2755">
        <f>'Part VI-Pro Forma'!E121</f>
        <v>0</v>
      </c>
      <c r="F821" s="2755">
        <f>'Part VI-Pro Forma'!F121</f>
        <v>0</v>
      </c>
      <c r="G821" s="2755"/>
      <c r="H821" s="2755"/>
      <c r="I821" s="2755"/>
      <c r="J821" s="2755"/>
      <c r="K821" s="2755"/>
    </row>
    <row r="822" spans="1:11">
      <c r="A822" s="356" t="str">
        <f>$A792</f>
        <v>Mortgage C</v>
      </c>
      <c r="B822" s="2755">
        <f>'Part VI-Pro Forma'!B122</f>
        <v>0</v>
      </c>
      <c r="C822" s="2755">
        <f>'Part VI-Pro Forma'!C122</f>
        <v>0</v>
      </c>
      <c r="D822" s="2755">
        <f>'Part VI-Pro Forma'!D122</f>
        <v>0</v>
      </c>
      <c r="E822" s="2755">
        <f>'Part VI-Pro Forma'!E122</f>
        <v>0</v>
      </c>
      <c r="F822" s="2755">
        <f>'Part VI-Pro Forma'!F122</f>
        <v>0</v>
      </c>
      <c r="G822" s="2755"/>
      <c r="H822" s="2755"/>
      <c r="I822" s="2755"/>
      <c r="J822" s="2755"/>
      <c r="K822" s="2755"/>
    </row>
    <row r="823" spans="1:11">
      <c r="A823" s="356" t="str">
        <f>$A793</f>
        <v>D/S Other Source,not DDF</v>
      </c>
      <c r="B823" s="2755">
        <f>'Part VI-Pro Forma'!B124</f>
        <v>0</v>
      </c>
      <c r="C823" s="2755">
        <f>'Part VI-Pro Forma'!C123</f>
        <v>0</v>
      </c>
      <c r="D823" s="2755">
        <f>'Part VI-Pro Forma'!D123</f>
        <v>0</v>
      </c>
      <c r="E823" s="2755">
        <f>'Part VI-Pro Forma'!E123</f>
        <v>0</v>
      </c>
      <c r="F823" s="2755">
        <f>'Part VI-Pro Forma'!F123</f>
        <v>0</v>
      </c>
      <c r="G823" s="2755"/>
      <c r="H823" s="2755"/>
      <c r="I823" s="2755"/>
      <c r="J823" s="2755"/>
      <c r="K823" s="2755"/>
    </row>
    <row r="824" spans="1:11">
      <c r="A824" s="356" t="s">
        <v>710</v>
      </c>
      <c r="B824" s="2755"/>
      <c r="C824" s="2755"/>
      <c r="D824" s="2755"/>
      <c r="E824" s="2755"/>
      <c r="F824" s="2755"/>
      <c r="G824" s="2755"/>
      <c r="H824" s="2755"/>
      <c r="I824" s="2755"/>
      <c r="J824" s="2755"/>
      <c r="K824" s="2755"/>
    </row>
    <row r="825" spans="1:11">
      <c r="A825" s="356" t="s">
        <v>1094</v>
      </c>
      <c r="B825" s="2755">
        <f>'Part VI-Pro Forma'!B125</f>
        <v>0</v>
      </c>
      <c r="C825" s="2755">
        <f>'Part VI-Pro Forma'!C125</f>
        <v>0</v>
      </c>
      <c r="D825" s="2755">
        <f>'Part VI-Pro Forma'!D125</f>
        <v>0</v>
      </c>
      <c r="E825" s="2755">
        <f>'Part VI-Pro Forma'!E125</f>
        <v>0</v>
      </c>
      <c r="F825" s="2755">
        <f>'Part VI-Pro Forma'!F125</f>
        <v>0</v>
      </c>
      <c r="G825" s="2755"/>
      <c r="H825" s="2755"/>
      <c r="I825" s="2755"/>
      <c r="J825" s="2755"/>
      <c r="K825" s="2755"/>
    </row>
    <row r="826" spans="1:11">
      <c r="A826" s="356" t="s">
        <v>1095</v>
      </c>
      <c r="B826" s="2755" t="e">
        <f>SUM(B819:B825)</f>
        <v>#VALUE!</v>
      </c>
      <c r="C826" s="2755" t="e">
        <f>SUM(C819:C825)</f>
        <v>#VALUE!</v>
      </c>
      <c r="D826" s="2755" t="e">
        <f>SUM(D819:D825)</f>
        <v>#VALUE!</v>
      </c>
      <c r="E826" s="2755" t="e">
        <f>SUM(E819:E825)</f>
        <v>#VALUE!</v>
      </c>
      <c r="F826" s="2755" t="e">
        <f>SUM(F819:F825)</f>
        <v>#VALUE!</v>
      </c>
      <c r="G826" s="2755"/>
      <c r="H826" s="2755"/>
      <c r="I826" s="2755"/>
      <c r="J826" s="2755"/>
      <c r="K826" s="2755"/>
    </row>
    <row r="827" spans="1:11">
      <c r="A827" s="356" t="str">
        <f>$A797</f>
        <v>DCR Mortgage A</v>
      </c>
      <c r="B827" s="2756" t="e">
        <f>IF(B820=0,"",-B819/B820)</f>
        <v>#VALUE!</v>
      </c>
      <c r="C827" s="2756" t="e">
        <f>IF(C820=0,"",-C819/C820)</f>
        <v>#VALUE!</v>
      </c>
      <c r="D827" s="2756" t="e">
        <f>IF(D820=0,"",-D819/D820)</f>
        <v>#VALUE!</v>
      </c>
      <c r="E827" s="2756" t="e">
        <f>IF(E820=0,"",-E819/E820)</f>
        <v>#VALUE!</v>
      </c>
      <c r="F827" s="2756" t="e">
        <f>IF(F820=0,"",-F819/F820)</f>
        <v>#VALUE!</v>
      </c>
      <c r="G827" s="2755"/>
      <c r="H827" s="2755"/>
      <c r="I827" s="2755"/>
      <c r="J827" s="2755"/>
      <c r="K827" s="2755"/>
    </row>
    <row r="828" spans="1:11">
      <c r="A828" s="356" t="str">
        <f>$A798</f>
        <v>DCR Mortgage B</v>
      </c>
      <c r="B828" s="2756" t="str">
        <f>IF(B821=0,"",-(B819+B820)/B821)</f>
        <v/>
      </c>
      <c r="C828" s="2756" t="str">
        <f>IF(C821=0,"",-(C819+C820)/C821)</f>
        <v/>
      </c>
      <c r="D828" s="2756" t="str">
        <f>IF(D821=0,"",-(D819+D820)/D821)</f>
        <v/>
      </c>
      <c r="E828" s="2756" t="str">
        <f>IF(E821=0,"",-(E819+E820)/E821)</f>
        <v/>
      </c>
      <c r="F828" s="2756" t="str">
        <f>IF(F821=0,"",-(F819+F820)/F821)</f>
        <v/>
      </c>
      <c r="G828" s="2755"/>
      <c r="H828" s="2755"/>
      <c r="I828" s="2755"/>
      <c r="J828" s="2755"/>
      <c r="K828" s="2755"/>
    </row>
    <row r="829" spans="1:11">
      <c r="A829" s="356" t="str">
        <f>$A799</f>
        <v>DCR Mortgage C</v>
      </c>
      <c r="B829" s="2756" t="str">
        <f>IF(B822=0,"",-(B819+B820+B821)/B822)</f>
        <v/>
      </c>
      <c r="C829" s="2756" t="str">
        <f>IF(C822=0,"",-(C819+C820+C821)/C822)</f>
        <v/>
      </c>
      <c r="D829" s="2756" t="str">
        <f>IF(D822=0,"",-(D819+D820+D821)/D822)</f>
        <v/>
      </c>
      <c r="E829" s="2756" t="str">
        <f>IF(E822=0,"",-(E819+E820+E821)/E822)</f>
        <v/>
      </c>
      <c r="F829" s="2756" t="str">
        <f>IF(F822=0,"",-(F819+F820+F821)/F822)</f>
        <v/>
      </c>
      <c r="G829" s="2755"/>
      <c r="H829" s="2755"/>
      <c r="I829" s="2755"/>
      <c r="J829" s="2755"/>
      <c r="K829" s="2755"/>
    </row>
    <row r="830" spans="1:11">
      <c r="A830" s="356" t="str">
        <f>$A800</f>
        <v>DCR Other Source</v>
      </c>
      <c r="B830" s="2756" t="str">
        <f>IF(B823=0,"",-(B819+B820+B821+B822)/B823)</f>
        <v/>
      </c>
      <c r="C830" s="2756" t="str">
        <f>IF(C823=0,"",-(C819+C820+C821+C822)/C823)</f>
        <v/>
      </c>
      <c r="D830" s="2756" t="str">
        <f>IF(D823=0,"",-(D819+D820+D821+D822)/D823)</f>
        <v/>
      </c>
      <c r="E830" s="2756" t="str">
        <f>IF(E823=0,"",-(E819+E820+E821+E822)/E823)</f>
        <v/>
      </c>
      <c r="F830" s="2756" t="str">
        <f>IF(F823=0,"",-(F819+F820+F821+F822)/F823)</f>
        <v/>
      </c>
      <c r="G830" s="2755"/>
      <c r="H830" s="2755"/>
      <c r="I830" s="2755"/>
      <c r="J830" s="2755"/>
      <c r="K830" s="2755"/>
    </row>
    <row r="831" spans="1:11">
      <c r="A831" s="356" t="s">
        <v>3129</v>
      </c>
      <c r="B831" s="2756" t="e">
        <f>IF(AND(B820=0,B821=0,B822=0,B823=0),"",-B819/(B820+B821+B822+B823))</f>
        <v>#VALUE!</v>
      </c>
      <c r="C831" s="2756" t="e">
        <f>IF(AND(C820=0,C821=0,C822=0,C823=0),"",-C819/(C820+C821+C822+C823))</f>
        <v>#VALUE!</v>
      </c>
      <c r="D831" s="2756" t="e">
        <f>IF(AND(D820=0,D821=0,D822=0,D823=0),"",-D819/(D820+D821+D822+D823))</f>
        <v>#VALUE!</v>
      </c>
      <c r="E831" s="2756" t="e">
        <f>IF(AND(E820=0,E821=0,E822=0,E823=0),"",-E819/(E820+E821+E822+E823))</f>
        <v>#VALUE!</v>
      </c>
      <c r="F831" s="2756" t="e">
        <f>IF(AND(F820=0,F821=0,F822=0,F823=0),"",-F819/(F820+F821+F822+F823))</f>
        <v>#VALUE!</v>
      </c>
      <c r="G831" s="2755"/>
      <c r="H831" s="2755"/>
      <c r="I831" s="2755"/>
      <c r="J831" s="2755"/>
      <c r="K831" s="2755"/>
    </row>
    <row r="832" spans="1:11">
      <c r="A832" s="356" t="s">
        <v>717</v>
      </c>
      <c r="B832" s="2757" t="e">
        <f>IF(OR(B816="Choose mgt fee",B816="Choose One!"),"",(B809+B810+B811+B812+B813) / -(B815+B816+B817))</f>
        <v>#VALUE!</v>
      </c>
      <c r="C832" s="2757" t="e">
        <f>IF(OR(C816="Choose mgt fee",C816="Choose One!"),"",(C809+C810+C811+C812+C813) / -(C815+C816+C817))</f>
        <v>#VALUE!</v>
      </c>
      <c r="D832" s="2757" t="e">
        <f>IF(OR(D816="Choose mgt fee",D816="Choose One!"),"",(D809+D810+D811+D812+D813) / -(D815+D816+D817))</f>
        <v>#VALUE!</v>
      </c>
      <c r="E832" s="2757" t="e">
        <f>IF(OR(E816="Choose mgt fee",E816="Choose One!"),"",(E809+E810+E811+E812+E813) / -(E815+E816+E817))</f>
        <v>#VALUE!</v>
      </c>
      <c r="F832" s="2757" t="e">
        <f>IF(OR(F816="Choose mgt fee",F816="Choose One!"),"",(F809+F810+F811+F812+F813) / -(F815+F816+F817))</f>
        <v>#VALUE!</v>
      </c>
      <c r="G832" s="2755"/>
      <c r="H832" s="2755"/>
      <c r="I832" s="2755"/>
      <c r="J832" s="2755"/>
      <c r="K832" s="2755"/>
    </row>
    <row r="833" spans="1:17">
      <c r="A833" s="356" t="s">
        <v>2399</v>
      </c>
      <c r="B833" s="2755">
        <f>'Part VI-Pro Forma'!B133</f>
        <v>2666076.7284720209</v>
      </c>
      <c r="C833" s="2755">
        <f>'Part VI-Pro Forma'!C133</f>
        <v>2449687.0236315862</v>
      </c>
      <c r="D833" s="2755">
        <f>'Part VI-Pro Forma'!D133</f>
        <v>2216683.748277578</v>
      </c>
      <c r="E833" s="2755">
        <f>'Part VI-Pro Forma'!E133</f>
        <v>1965791.376268801</v>
      </c>
      <c r="F833" s="2755">
        <f>'Part VI-Pro Forma'!F133</f>
        <v>1695636.4514654761</v>
      </c>
      <c r="G833" s="2755"/>
      <c r="H833" s="2755"/>
      <c r="I833" s="2755"/>
      <c r="J833" s="2755"/>
      <c r="K833" s="2755"/>
    </row>
    <row r="834" spans="1:17">
      <c r="A834" s="356" t="s">
        <v>2400</v>
      </c>
      <c r="B834" s="2755">
        <f>'Part VI-Pro Forma'!B134</f>
        <v>0</v>
      </c>
      <c r="C834" s="2755">
        <f>'Part VI-Pro Forma'!C134</f>
        <v>0</v>
      </c>
      <c r="D834" s="2755">
        <f>'Part VI-Pro Forma'!D134</f>
        <v>0</v>
      </c>
      <c r="E834" s="2755">
        <f>'Part VI-Pro Forma'!E134</f>
        <v>0</v>
      </c>
      <c r="F834" s="2755">
        <f>'Part VI-Pro Forma'!F134</f>
        <v>0</v>
      </c>
      <c r="G834" s="2755"/>
      <c r="H834" s="2755"/>
      <c r="I834" s="2755"/>
      <c r="J834" s="2755"/>
      <c r="K834" s="2755"/>
    </row>
    <row r="835" spans="1:17">
      <c r="A835" s="356" t="s">
        <v>2401</v>
      </c>
      <c r="B835" s="2755" t="str">
        <f>'Part VI-Pro Forma'!B135</f>
        <v/>
      </c>
      <c r="C835" s="2755" t="str">
        <f>'Part VI-Pro Forma'!C135</f>
        <v/>
      </c>
      <c r="D835" s="2755" t="str">
        <f>'Part VI-Pro Forma'!D135</f>
        <v/>
      </c>
      <c r="E835" s="2755" t="str">
        <f>'Part VI-Pro Forma'!E135</f>
        <v/>
      </c>
      <c r="F835" s="2755" t="str">
        <f>'Part VI-Pro Forma'!F135</f>
        <v/>
      </c>
      <c r="G835" s="2755"/>
      <c r="H835" s="2755"/>
      <c r="I835" s="2755"/>
      <c r="J835" s="2755"/>
      <c r="K835" s="2755"/>
    </row>
    <row r="836" spans="1:17">
      <c r="A836" s="356" t="s">
        <v>729</v>
      </c>
      <c r="B836" s="2755" t="str">
        <f>'Part VI-Pro Forma'!B136</f>
        <v/>
      </c>
      <c r="C836" s="2755" t="str">
        <f>'Part VI-Pro Forma'!C136</f>
        <v/>
      </c>
      <c r="D836" s="2755" t="str">
        <f>'Part VI-Pro Forma'!D136</f>
        <v/>
      </c>
      <c r="E836" s="2755" t="str">
        <f>'Part VI-Pro Forma'!E136</f>
        <v/>
      </c>
      <c r="F836" s="2755" t="str">
        <f>'Part VI-Pro Forma'!F136</f>
        <v/>
      </c>
      <c r="G836" s="2755"/>
      <c r="H836" s="2755"/>
      <c r="I836" s="2755"/>
      <c r="J836" s="2755"/>
      <c r="K836" s="2755"/>
    </row>
    <row r="838" spans="1:17">
      <c r="A838" s="360" t="s">
        <v>528</v>
      </c>
      <c r="B838" s="360"/>
      <c r="G838" s="360" t="s">
        <v>966</v>
      </c>
    </row>
    <row r="839" spans="1:17">
      <c r="B839" s="360"/>
    </row>
    <row r="840" spans="1:17" ht="12.6" customHeight="1">
      <c r="A840" s="2526" t="str">
        <f>'Part VI-Pro Forma'!A140</f>
        <v>APPLICANTS: Explain any any debt service payment amounts that deviate from the amount shown in Permanent Sources (Part III)</v>
      </c>
      <c r="B840" s="2526"/>
      <c r="C840" s="2526"/>
      <c r="D840" s="2526"/>
      <c r="E840" s="2526"/>
      <c r="F840" s="2526"/>
      <c r="G840" s="2526"/>
      <c r="H840" s="2526"/>
      <c r="I840" s="2526"/>
      <c r="J840" s="2526"/>
      <c r="K840" s="2526"/>
    </row>
    <row r="844" spans="1:17">
      <c r="A844" s="2759" t="str">
        <f>CONCATENATE("PART SEVEN - THRESHOLD CRITERIA","  -  ",'Part I-Project Identification'!$O$7," ",'Part I-Project Identification'!$F$26,", ",'Part I-Project Identification'!F787,", ",'Part I-Project Identification'!J787," County")</f>
        <v>PART SEVEN - THRESHOLD CRITERIA  -  2024-0 Redland Trace, ,  County</v>
      </c>
      <c r="B844" s="2759"/>
      <c r="C844" s="2759"/>
      <c r="D844" s="2759"/>
      <c r="E844" s="2759"/>
      <c r="F844" s="2759"/>
      <c r="G844" s="2759"/>
      <c r="H844" s="2759"/>
      <c r="I844" s="2759"/>
      <c r="J844" s="2759"/>
      <c r="K844" s="2759"/>
      <c r="L844" s="2759"/>
      <c r="M844" s="2759"/>
      <c r="N844" s="2759"/>
      <c r="O844" s="2759"/>
      <c r="P844" s="2759"/>
      <c r="Q844" s="2759"/>
    </row>
    <row r="845" spans="1:17">
      <c r="A845" s="2760"/>
      <c r="B845" s="2760"/>
      <c r="C845" s="2760"/>
      <c r="D845" s="2760"/>
      <c r="E845" s="2760"/>
      <c r="F845" s="2760"/>
      <c r="G845" s="2760"/>
      <c r="H845" s="2760"/>
      <c r="I845" s="2760"/>
      <c r="J845" s="2760"/>
      <c r="K845" s="2760"/>
      <c r="L845" s="2760"/>
      <c r="M845" s="2760"/>
      <c r="N845" s="2760"/>
      <c r="O845" s="2760"/>
      <c r="P845" s="2760"/>
      <c r="Q845" s="2760"/>
    </row>
    <row r="846" spans="1:17" ht="12.95" customHeight="1">
      <c r="A846" s="2761"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1"/>
      <c r="C846" s="2761"/>
      <c r="D846" s="2761"/>
      <c r="E846" s="2761"/>
      <c r="F846" s="2761"/>
      <c r="G846" s="2761"/>
      <c r="H846" s="2761"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1"/>
      <c r="J846" s="2761"/>
      <c r="K846" s="2761"/>
      <c r="L846" s="2761"/>
      <c r="M846" s="2761"/>
      <c r="N846" s="2761"/>
      <c r="O846" s="2760"/>
      <c r="P846" s="2759" t="s">
        <v>4653</v>
      </c>
      <c r="Q846" s="2759" t="s">
        <v>4427</v>
      </c>
    </row>
    <row r="847" spans="1:17">
      <c r="A847" s="2762"/>
      <c r="B847" s="2761"/>
      <c r="C847" s="2761"/>
      <c r="D847" s="2761"/>
      <c r="E847" s="2762"/>
      <c r="F847" s="2762"/>
      <c r="G847" s="2762"/>
      <c r="H847" s="2762"/>
      <c r="I847" s="2760"/>
      <c r="J847" s="2759"/>
      <c r="K847" s="2762"/>
      <c r="L847" s="2762"/>
      <c r="M847" s="2762"/>
      <c r="N847" s="2762"/>
      <c r="O847" s="2760"/>
      <c r="P847" s="2759"/>
      <c r="Q847" s="2759"/>
    </row>
    <row r="848" spans="1:17">
      <c r="A848" s="2760"/>
      <c r="B848" s="2760"/>
      <c r="C848" s="2760"/>
      <c r="D848" s="2760"/>
      <c r="E848" s="2763" t="str">
        <f>'Part I-Project Identification'!$A$6</f>
        <v>2024 May 7</v>
      </c>
      <c r="F848" s="2763"/>
      <c r="G848" s="2763"/>
      <c r="H848" s="2763"/>
      <c r="I848" s="2763"/>
      <c r="J848" s="2759"/>
      <c r="K848" s="2762"/>
      <c r="L848" s="2762"/>
      <c r="M848" s="2762"/>
      <c r="N848" s="2762"/>
      <c r="O848" s="2760"/>
      <c r="P848" s="2759"/>
      <c r="Q848" s="2759"/>
    </row>
    <row r="849" spans="1:17">
      <c r="A849" s="2760"/>
      <c r="B849" s="2760"/>
      <c r="C849" s="2760"/>
      <c r="D849" s="2760"/>
      <c r="E849" s="2764"/>
      <c r="F849" s="2764"/>
      <c r="G849" s="2764"/>
      <c r="H849" s="2764"/>
      <c r="I849" s="2764"/>
      <c r="J849" s="2759"/>
      <c r="K849" s="2760"/>
      <c r="L849" s="2765"/>
      <c r="M849" s="2759"/>
      <c r="N849" s="2762"/>
      <c r="O849" s="2760"/>
      <c r="P849" s="2762"/>
      <c r="Q849" s="2762"/>
    </row>
    <row r="850" spans="1:17" ht="15.6" customHeight="1">
      <c r="A850" s="2766" t="s">
        <v>4654</v>
      </c>
      <c r="B850" s="2766"/>
      <c r="C850" s="2766"/>
      <c r="D850" s="2766"/>
      <c r="E850" s="2766"/>
      <c r="F850" s="2766"/>
      <c r="G850" s="2766"/>
      <c r="H850" s="2766"/>
      <c r="I850" s="2766"/>
      <c r="J850" s="2766"/>
      <c r="K850" s="2766"/>
      <c r="L850" s="2766"/>
      <c r="M850" s="2766"/>
      <c r="N850" s="2766"/>
      <c r="O850" s="2766"/>
      <c r="P850" s="2766"/>
      <c r="Q850" s="2766"/>
    </row>
    <row r="851" spans="1:17">
      <c r="A851" s="2760"/>
      <c r="B851" s="2760"/>
      <c r="C851" s="2760"/>
      <c r="D851" s="2760"/>
      <c r="E851" s="2764"/>
      <c r="F851" s="2764"/>
      <c r="G851" s="2764"/>
      <c r="H851" s="2764"/>
      <c r="I851" s="2764"/>
      <c r="J851" s="2759"/>
      <c r="K851" s="2760"/>
      <c r="L851" s="2765"/>
      <c r="M851" s="2759"/>
      <c r="N851" s="2762"/>
      <c r="O851" s="2760"/>
      <c r="P851" s="2762"/>
      <c r="Q851" s="2762"/>
    </row>
    <row r="852" spans="1:17" ht="15">
      <c r="A852" s="2767" t="s">
        <v>5100</v>
      </c>
      <c r="B852" s="2768"/>
      <c r="C852" s="2768"/>
      <c r="D852" s="2768"/>
      <c r="E852" s="2768"/>
      <c r="F852" s="2768"/>
      <c r="G852" s="2768"/>
      <c r="H852" s="2768"/>
      <c r="I852" s="2487"/>
      <c r="J852" s="2487"/>
      <c r="K852" s="2482"/>
      <c r="L852" s="2482"/>
      <c r="M852" s="2482"/>
      <c r="N852" s="2482"/>
      <c r="O852" s="2482"/>
      <c r="P852" s="2487"/>
      <c r="Q852" s="2487"/>
    </row>
    <row r="853" spans="1:17" ht="15">
      <c r="A853" s="2769" t="s">
        <v>2982</v>
      </c>
      <c r="B853" s="2768"/>
      <c r="C853" s="2768"/>
      <c r="D853" s="2768"/>
      <c r="E853" s="2768"/>
      <c r="F853" s="2768"/>
      <c r="G853" s="2768"/>
      <c r="H853" s="2482"/>
      <c r="I853" s="2487"/>
      <c r="J853" s="2487"/>
      <c r="K853" s="2482"/>
      <c r="L853" s="2482"/>
      <c r="M853" s="2485"/>
      <c r="N853" s="2485"/>
      <c r="O853" s="2768"/>
      <c r="P853" s="2768"/>
      <c r="Q853" s="2768"/>
    </row>
    <row r="854" spans="1:17" ht="14.25">
      <c r="A854" s="2770" t="s">
        <v>1327</v>
      </c>
      <c r="B854" s="2770"/>
      <c r="C854" s="2770"/>
      <c r="D854" s="2770"/>
      <c r="E854" s="2770"/>
      <c r="F854" s="2770"/>
      <c r="G854" s="2770"/>
      <c r="H854" s="2770"/>
      <c r="I854" s="2770"/>
      <c r="J854" s="2770"/>
      <c r="K854" s="2770"/>
      <c r="L854" s="2770"/>
      <c r="M854" s="2770"/>
      <c r="N854" s="2770"/>
      <c r="O854" s="2770"/>
      <c r="P854" s="2770"/>
      <c r="Q854" s="2770"/>
    </row>
    <row r="855" spans="1:17" ht="14.25">
      <c r="A855" s="2770" t="s">
        <v>218</v>
      </c>
      <c r="B855" s="2770"/>
      <c r="C855" s="2770"/>
      <c r="D855" s="2770"/>
      <c r="E855" s="2770"/>
      <c r="F855" s="2770"/>
      <c r="G855" s="2770"/>
      <c r="H855" s="2770"/>
      <c r="I855" s="2770"/>
      <c r="J855" s="2770"/>
      <c r="K855" s="2770"/>
      <c r="L855" s="2770"/>
      <c r="M855" s="2770"/>
      <c r="N855" s="2770"/>
      <c r="O855" s="2770"/>
      <c r="P855" s="2770"/>
      <c r="Q855" s="2770"/>
    </row>
    <row r="856" spans="1:17" ht="14.25">
      <c r="A856" s="2770" t="s">
        <v>1323</v>
      </c>
      <c r="B856" s="2770"/>
      <c r="C856" s="2770"/>
      <c r="D856" s="2770"/>
      <c r="E856" s="2770"/>
      <c r="F856" s="2770"/>
      <c r="G856" s="2770"/>
      <c r="H856" s="2770"/>
      <c r="I856" s="2770"/>
      <c r="J856" s="2770"/>
      <c r="K856" s="2770"/>
      <c r="L856" s="2770"/>
      <c r="M856" s="2770"/>
      <c r="N856" s="2770"/>
      <c r="O856" s="2770"/>
      <c r="P856" s="2770"/>
      <c r="Q856" s="2770"/>
    </row>
    <row r="857" spans="1:17" ht="14.25">
      <c r="A857" s="2770" t="s">
        <v>1324</v>
      </c>
      <c r="B857" s="2770"/>
      <c r="C857" s="2770"/>
      <c r="D857" s="2770"/>
      <c r="E857" s="2770"/>
      <c r="F857" s="2770"/>
      <c r="G857" s="2770"/>
      <c r="H857" s="2770"/>
      <c r="I857" s="2770"/>
      <c r="J857" s="2770"/>
      <c r="K857" s="2770"/>
      <c r="L857" s="2770"/>
      <c r="M857" s="2770"/>
      <c r="N857" s="2770"/>
      <c r="O857" s="2770"/>
      <c r="P857" s="2770"/>
      <c r="Q857" s="2770"/>
    </row>
    <row r="858" spans="1:17" ht="14.25">
      <c r="A858" s="2770" t="s">
        <v>1325</v>
      </c>
      <c r="B858" s="2770"/>
      <c r="C858" s="2770"/>
      <c r="D858" s="2770"/>
      <c r="E858" s="2770"/>
      <c r="F858" s="2770"/>
      <c r="G858" s="2770"/>
      <c r="H858" s="2770"/>
      <c r="I858" s="2770"/>
      <c r="J858" s="2770"/>
      <c r="K858" s="2770"/>
      <c r="L858" s="2770"/>
      <c r="M858" s="2770"/>
      <c r="N858" s="2770"/>
      <c r="O858" s="2770"/>
      <c r="P858" s="2770"/>
      <c r="Q858" s="2770"/>
    </row>
    <row r="859" spans="1:17" ht="14.25">
      <c r="A859" s="2770" t="s">
        <v>1326</v>
      </c>
      <c r="B859" s="2770"/>
      <c r="C859" s="2770"/>
      <c r="D859" s="2770"/>
      <c r="E859" s="2770"/>
      <c r="F859" s="2770"/>
      <c r="G859" s="2770"/>
      <c r="H859" s="2770"/>
      <c r="I859" s="2770"/>
      <c r="J859" s="2770"/>
      <c r="K859" s="2770"/>
      <c r="L859" s="2770"/>
      <c r="M859" s="2770"/>
      <c r="N859" s="2770"/>
      <c r="O859" s="2770"/>
      <c r="P859" s="2770"/>
      <c r="Q859" s="2770"/>
    </row>
    <row r="860" spans="1:17" ht="14.25">
      <c r="A860" s="2770" t="s">
        <v>1328</v>
      </c>
      <c r="B860" s="2770"/>
      <c r="C860" s="2770"/>
      <c r="D860" s="2770"/>
      <c r="E860" s="2770"/>
      <c r="F860" s="2770"/>
      <c r="G860" s="2770"/>
      <c r="H860" s="2770"/>
      <c r="I860" s="2770"/>
      <c r="J860" s="2770"/>
      <c r="K860" s="2770"/>
      <c r="L860" s="2770"/>
      <c r="M860" s="2770"/>
      <c r="N860" s="2770"/>
      <c r="O860" s="2770"/>
      <c r="P860" s="2770"/>
      <c r="Q860" s="2770"/>
    </row>
    <row r="861" spans="1:17" ht="14.25">
      <c r="A861" s="2770" t="s">
        <v>1867</v>
      </c>
      <c r="B861" s="2770"/>
      <c r="C861" s="2770"/>
      <c r="D861" s="2770"/>
      <c r="E861" s="2770"/>
      <c r="F861" s="2770"/>
      <c r="G861" s="2770"/>
      <c r="H861" s="2770"/>
      <c r="I861" s="2770"/>
      <c r="J861" s="2770"/>
      <c r="K861" s="2770"/>
      <c r="L861" s="2770"/>
      <c r="M861" s="2770"/>
      <c r="N861" s="2770"/>
      <c r="O861" s="2770"/>
      <c r="P861" s="2770"/>
      <c r="Q861" s="2770"/>
    </row>
    <row r="862" spans="1:17" ht="14.25">
      <c r="A862" s="2770" t="s">
        <v>1868</v>
      </c>
      <c r="B862" s="2770"/>
      <c r="C862" s="2770"/>
      <c r="D862" s="2770"/>
      <c r="E862" s="2770"/>
      <c r="F862" s="2770"/>
      <c r="G862" s="2770"/>
      <c r="H862" s="2770"/>
      <c r="I862" s="2770"/>
      <c r="J862" s="2770"/>
      <c r="K862" s="2770"/>
      <c r="L862" s="2770"/>
      <c r="M862" s="2770"/>
      <c r="N862" s="2770"/>
      <c r="O862" s="2770"/>
      <c r="P862" s="2770"/>
      <c r="Q862" s="2770"/>
    </row>
    <row r="863" spans="1:17" ht="14.25">
      <c r="A863" s="2770" t="s">
        <v>1869</v>
      </c>
      <c r="B863" s="2770"/>
      <c r="C863" s="2770"/>
      <c r="D863" s="2770"/>
      <c r="E863" s="2770"/>
      <c r="F863" s="2770"/>
      <c r="G863" s="2770"/>
      <c r="H863" s="2770"/>
      <c r="I863" s="2770"/>
      <c r="J863" s="2770"/>
      <c r="K863" s="2770"/>
      <c r="L863" s="2770"/>
      <c r="M863" s="2770"/>
      <c r="N863" s="2770"/>
      <c r="O863" s="2770"/>
      <c r="P863" s="2770"/>
      <c r="Q863" s="2770"/>
    </row>
    <row r="864" spans="1:17" ht="14.25">
      <c r="A864" s="2770" t="s">
        <v>1870</v>
      </c>
      <c r="B864" s="2770"/>
      <c r="C864" s="2770"/>
      <c r="D864" s="2770"/>
      <c r="E864" s="2770"/>
      <c r="F864" s="2770"/>
      <c r="G864" s="2770"/>
      <c r="H864" s="2770"/>
      <c r="I864" s="2770"/>
      <c r="J864" s="2770"/>
      <c r="K864" s="2770"/>
      <c r="L864" s="2770"/>
      <c r="M864" s="2770"/>
      <c r="N864" s="2770"/>
      <c r="O864" s="2770"/>
      <c r="P864" s="2770"/>
      <c r="Q864" s="2770"/>
    </row>
    <row r="865" spans="1:17" ht="14.25">
      <c r="A865" s="2770" t="s">
        <v>1871</v>
      </c>
      <c r="B865" s="2770"/>
      <c r="C865" s="2770"/>
      <c r="D865" s="2770"/>
      <c r="E865" s="2770"/>
      <c r="F865" s="2770"/>
      <c r="G865" s="2770"/>
      <c r="H865" s="2770"/>
      <c r="I865" s="2770"/>
      <c r="J865" s="2770"/>
      <c r="K865" s="2770"/>
      <c r="L865" s="2770"/>
      <c r="M865" s="2770"/>
      <c r="N865" s="2770"/>
      <c r="O865" s="2770"/>
      <c r="P865" s="2770"/>
      <c r="Q865" s="2770"/>
    </row>
    <row r="866" spans="1:17" ht="14.25">
      <c r="A866" s="2770" t="s">
        <v>1872</v>
      </c>
      <c r="B866" s="2770"/>
      <c r="C866" s="2770"/>
      <c r="D866" s="2770"/>
      <c r="E866" s="2770"/>
      <c r="F866" s="2770"/>
      <c r="G866" s="2770"/>
      <c r="H866" s="2770"/>
      <c r="I866" s="2770"/>
      <c r="J866" s="2770"/>
      <c r="K866" s="2770"/>
      <c r="L866" s="2770"/>
      <c r="M866" s="2770"/>
      <c r="N866" s="2770"/>
      <c r="O866" s="2770"/>
      <c r="P866" s="2770"/>
      <c r="Q866" s="2770"/>
    </row>
    <row r="867" spans="1:17" ht="14.25">
      <c r="A867" s="2770" t="s">
        <v>1873</v>
      </c>
      <c r="B867" s="2770"/>
      <c r="C867" s="2770"/>
      <c r="D867" s="2770"/>
      <c r="E867" s="2770"/>
      <c r="F867" s="2770"/>
      <c r="G867" s="2770"/>
      <c r="H867" s="2770"/>
      <c r="I867" s="2770"/>
      <c r="J867" s="2770"/>
      <c r="K867" s="2770"/>
      <c r="L867" s="2770"/>
      <c r="M867" s="2770"/>
      <c r="N867" s="2770"/>
      <c r="O867" s="2770"/>
      <c r="P867" s="2770"/>
      <c r="Q867" s="2770"/>
    </row>
    <row r="868" spans="1:17" ht="14.25">
      <c r="A868" s="2770" t="s">
        <v>1874</v>
      </c>
      <c r="B868" s="2770"/>
      <c r="C868" s="2770"/>
      <c r="D868" s="2770"/>
      <c r="E868" s="2770"/>
      <c r="F868" s="2770"/>
      <c r="G868" s="2770"/>
      <c r="H868" s="2770"/>
      <c r="I868" s="2770"/>
      <c r="J868" s="2770"/>
      <c r="K868" s="2770"/>
      <c r="L868" s="2770"/>
      <c r="M868" s="2770"/>
      <c r="N868" s="2770"/>
      <c r="O868" s="2770"/>
      <c r="P868" s="2770"/>
      <c r="Q868" s="2770"/>
    </row>
    <row r="869" spans="1:17" ht="14.25">
      <c r="A869" s="2770" t="s">
        <v>1875</v>
      </c>
      <c r="B869" s="2770"/>
      <c r="C869" s="2770"/>
      <c r="D869" s="2770"/>
      <c r="E869" s="2770"/>
      <c r="F869" s="2770"/>
      <c r="G869" s="2770"/>
      <c r="H869" s="2770"/>
      <c r="I869" s="2770"/>
      <c r="J869" s="2770"/>
      <c r="K869" s="2770"/>
      <c r="L869" s="2770"/>
      <c r="M869" s="2770"/>
      <c r="N869" s="2770"/>
      <c r="O869" s="2770"/>
      <c r="P869" s="2770"/>
      <c r="Q869" s="2770"/>
    </row>
    <row r="870" spans="1:17" ht="14.25">
      <c r="A870" s="2770" t="s">
        <v>1876</v>
      </c>
      <c r="B870" s="2770"/>
      <c r="C870" s="2770"/>
      <c r="D870" s="2770"/>
      <c r="E870" s="2770"/>
      <c r="F870" s="2770"/>
      <c r="G870" s="2770"/>
      <c r="H870" s="2770"/>
      <c r="I870" s="2770"/>
      <c r="J870" s="2770"/>
      <c r="K870" s="2770"/>
      <c r="L870" s="2770"/>
      <c r="M870" s="2770"/>
      <c r="N870" s="2770"/>
      <c r="O870" s="2770"/>
      <c r="P870" s="2770"/>
      <c r="Q870" s="2770"/>
    </row>
    <row r="871" spans="1:17" ht="14.25">
      <c r="A871" s="2770" t="s">
        <v>1877</v>
      </c>
      <c r="B871" s="2770"/>
      <c r="C871" s="2770"/>
      <c r="D871" s="2770"/>
      <c r="E871" s="2770"/>
      <c r="F871" s="2770"/>
      <c r="G871" s="2770"/>
      <c r="H871" s="2770"/>
      <c r="I871" s="2770"/>
      <c r="J871" s="2770"/>
      <c r="K871" s="2770"/>
      <c r="L871" s="2770"/>
      <c r="M871" s="2770"/>
      <c r="N871" s="2770"/>
      <c r="O871" s="2770"/>
      <c r="P871" s="2770"/>
      <c r="Q871" s="2770"/>
    </row>
    <row r="872" spans="1:17" ht="14.25">
      <c r="A872" s="2768"/>
      <c r="B872" s="2768"/>
      <c r="C872" s="2768"/>
      <c r="D872" s="2768"/>
      <c r="E872" s="2768"/>
      <c r="F872" s="2768"/>
      <c r="G872" s="2768"/>
      <c r="H872" s="2768"/>
      <c r="I872" s="2768"/>
      <c r="J872" s="2768"/>
      <c r="K872" s="2768"/>
      <c r="L872" s="2768"/>
      <c r="M872" s="2768"/>
      <c r="N872" s="2768"/>
      <c r="O872" s="2768"/>
      <c r="P872" s="2768"/>
      <c r="Q872" s="2768"/>
    </row>
    <row r="873" spans="1:17" ht="14.25">
      <c r="A873" s="2768"/>
      <c r="B873" s="2768"/>
      <c r="C873" s="2768"/>
      <c r="D873" s="2768"/>
      <c r="E873" s="2768"/>
      <c r="F873" s="2768"/>
      <c r="G873" s="2768"/>
      <c r="H873" s="2768"/>
      <c r="I873" s="2768"/>
      <c r="J873" s="2768"/>
      <c r="K873" s="2768"/>
      <c r="L873" s="2768"/>
      <c r="M873" s="2768"/>
      <c r="N873" s="2768"/>
      <c r="O873" s="2768"/>
      <c r="P873" s="2768"/>
      <c r="Q873" s="2768"/>
    </row>
    <row r="874" spans="1:17" ht="15">
      <c r="A874" s="2771" t="s">
        <v>572</v>
      </c>
      <c r="B874" s="2487" t="s">
        <v>4529</v>
      </c>
      <c r="C874" s="2487"/>
      <c r="D874" s="2487"/>
      <c r="E874" s="2487"/>
      <c r="F874" s="2487"/>
      <c r="G874" s="2487"/>
      <c r="H874" s="2482"/>
      <c r="I874" s="2484"/>
      <c r="J874" s="2484"/>
      <c r="K874" s="2484"/>
      <c r="L874" s="2485"/>
      <c r="M874" s="2485"/>
      <c r="N874" s="2482"/>
      <c r="O874" s="2772" t="s">
        <v>1726</v>
      </c>
      <c r="P874" s="2487"/>
      <c r="Q874" s="2487"/>
    </row>
    <row r="875" spans="1:17" ht="15">
      <c r="A875" s="2482"/>
      <c r="B875" s="2773" t="s">
        <v>4656</v>
      </c>
      <c r="C875" s="2773"/>
      <c r="D875" s="2773"/>
      <c r="E875" s="2773"/>
      <c r="F875" s="2773"/>
      <c r="G875" s="2484"/>
      <c r="H875" s="2484"/>
      <c r="I875" s="2484"/>
      <c r="J875" s="2484"/>
      <c r="K875" s="2485"/>
      <c r="L875" s="2485"/>
      <c r="M875" s="2485"/>
      <c r="N875" s="2485"/>
      <c r="O875" s="2485"/>
      <c r="P875" s="2485"/>
      <c r="Q875" s="2482"/>
    </row>
    <row r="876" spans="1:17" ht="14.25">
      <c r="A876" s="2482">
        <f>'Part VII-Threshold Criteria'!A33</f>
        <v>0</v>
      </c>
      <c r="B876" s="2482"/>
      <c r="C876" s="2482"/>
      <c r="D876" s="2482"/>
      <c r="E876" s="2482"/>
      <c r="F876" s="2482"/>
      <c r="G876" s="2482"/>
      <c r="H876" s="2482"/>
      <c r="I876" s="2482"/>
      <c r="J876" s="2482"/>
      <c r="K876" s="2482"/>
      <c r="L876" s="2482"/>
      <c r="M876" s="2482"/>
      <c r="N876" s="2482"/>
      <c r="O876" s="2482"/>
      <c r="P876" s="2482"/>
      <c r="Q876" s="2482"/>
    </row>
    <row r="877" spans="1:17" ht="14.25">
      <c r="A877" s="2482"/>
      <c r="B877" s="2773" t="s">
        <v>1725</v>
      </c>
      <c r="C877" s="2773"/>
      <c r="D877" s="2483"/>
      <c r="E877" s="2483"/>
      <c r="F877" s="2483"/>
      <c r="G877" s="2483"/>
      <c r="H877" s="2483"/>
      <c r="I877" s="2483"/>
      <c r="J877" s="2483"/>
      <c r="K877" s="2483"/>
      <c r="L877" s="2483"/>
      <c r="M877" s="2483"/>
      <c r="N877" s="2483"/>
      <c r="O877" s="2483"/>
      <c r="P877" s="2483"/>
      <c r="Q877" s="2482"/>
    </row>
    <row r="878" spans="1:17" ht="14.25">
      <c r="A878" s="2482"/>
      <c r="B878" s="2482"/>
      <c r="C878" s="2482"/>
      <c r="D878" s="2482"/>
      <c r="E878" s="2482"/>
      <c r="F878" s="2482"/>
      <c r="G878" s="2482"/>
      <c r="H878" s="2482"/>
      <c r="I878" s="2482"/>
      <c r="J878" s="2482"/>
      <c r="K878" s="2482"/>
      <c r="L878" s="2482"/>
      <c r="M878" s="2482"/>
      <c r="N878" s="2482"/>
      <c r="O878" s="2482"/>
      <c r="P878" s="2482"/>
      <c r="Q878" s="2482"/>
    </row>
    <row r="879" spans="1:17" ht="15">
      <c r="A879" s="2482"/>
      <c r="B879" s="2484"/>
      <c r="C879" s="2483"/>
      <c r="D879" s="2483"/>
      <c r="E879" s="2483"/>
      <c r="F879" s="2483"/>
      <c r="G879" s="2483"/>
      <c r="H879" s="2483"/>
      <c r="I879" s="2483"/>
      <c r="J879" s="2483"/>
      <c r="K879" s="2483"/>
      <c r="L879" s="2483"/>
      <c r="M879" s="2483"/>
      <c r="N879" s="2483"/>
      <c r="O879" s="2483"/>
      <c r="P879" s="2483"/>
      <c r="Q879" s="2485"/>
    </row>
    <row r="880" spans="1:17" ht="15">
      <c r="A880" s="2482"/>
      <c r="B880" s="2484"/>
      <c r="C880" s="2483"/>
      <c r="D880" s="2483"/>
      <c r="E880" s="2483"/>
      <c r="F880" s="2483"/>
      <c r="G880" s="2483"/>
      <c r="H880" s="2483"/>
      <c r="I880" s="2483"/>
      <c r="J880" s="2483"/>
      <c r="K880" s="2483"/>
      <c r="L880" s="2483"/>
      <c r="M880" s="2483"/>
      <c r="N880" s="2483"/>
      <c r="O880" s="2483"/>
      <c r="P880" s="2483"/>
      <c r="Q880" s="2485"/>
    </row>
    <row r="881" spans="1:17" ht="15">
      <c r="A881" s="2771" t="s">
        <v>688</v>
      </c>
      <c r="B881" s="2487" t="s">
        <v>1117</v>
      </c>
      <c r="C881" s="2487"/>
      <c r="D881" s="2487"/>
      <c r="E881" s="2483"/>
      <c r="F881" s="2483"/>
      <c r="G881" s="2483"/>
      <c r="H881" s="2482"/>
      <c r="I881" s="2482"/>
      <c r="J881" s="2482"/>
      <c r="K881" s="2482"/>
      <c r="L881" s="2482"/>
      <c r="M881" s="2482"/>
      <c r="N881" s="2482"/>
      <c r="O881" s="2772" t="s">
        <v>1726</v>
      </c>
      <c r="P881" s="2487"/>
      <c r="Q881" s="2487"/>
    </row>
    <row r="882" spans="1:17" ht="15">
      <c r="A882" s="2771"/>
      <c r="B882" s="2482" t="s">
        <v>5101</v>
      </c>
      <c r="C882" s="2482"/>
      <c r="D882" s="2482"/>
      <c r="E882" s="2482"/>
      <c r="F882" s="2482"/>
      <c r="G882" s="2482"/>
      <c r="H882" s="2482"/>
      <c r="I882" s="2482"/>
      <c r="J882" s="2482"/>
      <c r="K882" s="2482"/>
      <c r="L882" s="2482"/>
      <c r="M882" s="2482"/>
      <c r="N882" s="2482"/>
      <c r="O882" s="2482"/>
      <c r="P882" s="2487">
        <f>'Part VII-Threshold Criteria'!P39</f>
        <v>0</v>
      </c>
      <c r="Q882" s="2487"/>
    </row>
    <row r="883" spans="1:17" ht="14.25">
      <c r="A883" s="2482"/>
      <c r="B883" s="2774" t="s">
        <v>3157</v>
      </c>
      <c r="C883" s="2482"/>
      <c r="D883" s="2774"/>
      <c r="E883" s="2774"/>
      <c r="F883" s="2774"/>
      <c r="G883" s="2774"/>
      <c r="H883" s="2483"/>
      <c r="I883" s="2484"/>
      <c r="J883" s="2484"/>
      <c r="K883" s="2482"/>
      <c r="L883" s="2482"/>
      <c r="M883" s="2482"/>
      <c r="N883" s="2482"/>
      <c r="O883" s="2482"/>
      <c r="P883" s="2482"/>
      <c r="Q883" s="2482"/>
    </row>
    <row r="884" spans="1:17" ht="14.25">
      <c r="A884" s="2482">
        <f>'Part VII-Threshold Criteria'!A41</f>
        <v>0</v>
      </c>
      <c r="B884" s="2482"/>
      <c r="C884" s="2482"/>
      <c r="D884" s="2482"/>
      <c r="E884" s="2482"/>
      <c r="F884" s="2482"/>
      <c r="G884" s="2482"/>
      <c r="H884" s="2482"/>
      <c r="I884" s="2482"/>
      <c r="J884" s="2482"/>
      <c r="K884" s="2482"/>
      <c r="L884" s="2482"/>
      <c r="M884" s="2482"/>
      <c r="N884" s="2482"/>
      <c r="O884" s="2482"/>
      <c r="P884" s="2482"/>
      <c r="Q884" s="2482"/>
    </row>
    <row r="885" spans="1:17" ht="15">
      <c r="A885" s="2485"/>
      <c r="B885" s="2773" t="s">
        <v>1725</v>
      </c>
      <c r="C885" s="2485"/>
      <c r="D885" s="2485"/>
      <c r="E885" s="2485"/>
      <c r="F885" s="2485"/>
      <c r="G885" s="2485"/>
      <c r="H885" s="2485"/>
      <c r="I885" s="2483"/>
      <c r="J885" s="2483"/>
      <c r="K885" s="2483"/>
      <c r="L885" s="2483"/>
      <c r="M885" s="2483"/>
      <c r="N885" s="2483"/>
      <c r="O885" s="2483"/>
      <c r="P885" s="2483"/>
      <c r="Q885" s="2485"/>
    </row>
    <row r="886" spans="1:17" ht="14.25">
      <c r="A886" s="2482"/>
      <c r="B886" s="2482"/>
      <c r="C886" s="2482"/>
      <c r="D886" s="2482"/>
      <c r="E886" s="2482"/>
      <c r="F886" s="2482"/>
      <c r="G886" s="2482"/>
      <c r="H886" s="2482"/>
      <c r="I886" s="2482"/>
      <c r="J886" s="2482"/>
      <c r="K886" s="2482"/>
      <c r="L886" s="2482"/>
      <c r="M886" s="2482"/>
      <c r="N886" s="2482"/>
      <c r="O886" s="2482"/>
      <c r="P886" s="2482"/>
      <c r="Q886" s="2482"/>
    </row>
    <row r="887" spans="1:17" ht="15">
      <c r="A887" s="2485"/>
      <c r="B887" s="2483"/>
      <c r="C887" s="2483"/>
      <c r="D887" s="2483"/>
      <c r="E887" s="2483"/>
      <c r="F887" s="2483"/>
      <c r="G887" s="2483"/>
      <c r="H887" s="2483"/>
      <c r="I887" s="2483"/>
      <c r="J887" s="2483"/>
      <c r="K887" s="2483"/>
      <c r="L887" s="2483"/>
      <c r="M887" s="2483"/>
      <c r="N887" s="2483"/>
      <c r="O887" s="2483"/>
      <c r="P887" s="2483"/>
      <c r="Q887" s="2485"/>
    </row>
    <row r="888" spans="1:17" ht="15">
      <c r="A888" s="2482"/>
      <c r="B888" s="2484"/>
      <c r="C888" s="2483"/>
      <c r="D888" s="2483"/>
      <c r="E888" s="2483"/>
      <c r="F888" s="2483"/>
      <c r="G888" s="2483"/>
      <c r="H888" s="2483"/>
      <c r="I888" s="2483"/>
      <c r="J888" s="2483"/>
      <c r="K888" s="2483"/>
      <c r="L888" s="2483"/>
      <c r="M888" s="2483"/>
      <c r="N888" s="2483"/>
      <c r="O888" s="2483"/>
      <c r="P888" s="2483"/>
      <c r="Q888" s="2485"/>
    </row>
    <row r="889" spans="1:17" ht="15">
      <c r="A889" s="2771" t="s">
        <v>690</v>
      </c>
      <c r="B889" s="2771" t="s">
        <v>4794</v>
      </c>
      <c r="C889" s="2771"/>
      <c r="D889" s="2483"/>
      <c r="E889" s="2483"/>
      <c r="F889" s="2483"/>
      <c r="G889" s="2483"/>
      <c r="H889" s="2483"/>
      <c r="I889" s="2483"/>
      <c r="J889" s="2483"/>
      <c r="K889" s="2482"/>
      <c r="L889" s="2775"/>
      <c r="M889" s="2776"/>
      <c r="N889" s="2482"/>
      <c r="O889" s="2772" t="s">
        <v>1726</v>
      </c>
      <c r="P889" s="2487"/>
      <c r="Q889" s="2487"/>
    </row>
    <row r="890" spans="1:17" ht="15">
      <c r="A890" s="2772"/>
      <c r="B890" s="2483" t="s">
        <v>5016</v>
      </c>
      <c r="C890" s="2771"/>
      <c r="D890" s="2483"/>
      <c r="E890" s="2483"/>
      <c r="F890" s="2483"/>
      <c r="G890" s="2483"/>
      <c r="H890" s="2483"/>
      <c r="I890" s="2483"/>
      <c r="J890" s="2483"/>
      <c r="K890" s="2482"/>
      <c r="L890" s="2775"/>
      <c r="M890" s="2776"/>
      <c r="N890" s="2482"/>
      <c r="O890" s="2772"/>
      <c r="P890" s="2487">
        <f>'Part VII-Threshold Criteria'!P47</f>
        <v>0</v>
      </c>
      <c r="Q890" s="2487"/>
    </row>
    <row r="891" spans="1:17" ht="15">
      <c r="A891" s="2482"/>
      <c r="B891" s="2774" t="s">
        <v>3157</v>
      </c>
      <c r="C891" s="2482"/>
      <c r="D891" s="2774"/>
      <c r="E891" s="2774"/>
      <c r="F891" s="2774"/>
      <c r="G891" s="2774"/>
      <c r="H891" s="2483"/>
      <c r="I891" s="2484"/>
      <c r="J891" s="2484"/>
      <c r="K891" s="2773" t="s">
        <v>1725</v>
      </c>
      <c r="L891" s="2485"/>
      <c r="M891" s="2485"/>
      <c r="N891" s="2485"/>
      <c r="O891" s="2485"/>
      <c r="P891" s="2485"/>
      <c r="Q891" s="2485"/>
    </row>
    <row r="892" spans="1:17" ht="14.25">
      <c r="A892" s="2482">
        <f>'Part VII-Threshold Criteria'!A49</f>
        <v>0</v>
      </c>
      <c r="B892" s="2482"/>
      <c r="C892" s="2482"/>
      <c r="D892" s="2482"/>
      <c r="E892" s="2482"/>
      <c r="F892" s="2482"/>
      <c r="G892" s="2482"/>
      <c r="H892" s="2482"/>
      <c r="I892" s="2482"/>
      <c r="J892" s="2482"/>
      <c r="K892" s="2482"/>
      <c r="L892" s="2482"/>
      <c r="M892" s="2482"/>
      <c r="N892" s="2482"/>
      <c r="O892" s="2482"/>
      <c r="P892" s="2482"/>
      <c r="Q892" s="2482"/>
    </row>
    <row r="893" spans="1:17" ht="15">
      <c r="A893" s="2485"/>
      <c r="B893" s="2484"/>
      <c r="C893" s="2483"/>
      <c r="D893" s="2483"/>
      <c r="E893" s="2483"/>
      <c r="F893" s="2483"/>
      <c r="G893" s="2483"/>
      <c r="H893" s="2483"/>
      <c r="I893" s="2483"/>
      <c r="J893" s="2483"/>
      <c r="K893" s="2483"/>
      <c r="L893" s="2483"/>
      <c r="M893" s="2483"/>
      <c r="N893" s="2483"/>
      <c r="O893" s="2483"/>
      <c r="P893" s="2483"/>
      <c r="Q893" s="2485"/>
    </row>
    <row r="894" spans="1:17" ht="15">
      <c r="A894" s="2771"/>
      <c r="B894" s="2484"/>
      <c r="C894" s="2483"/>
      <c r="D894" s="2483"/>
      <c r="E894" s="2483"/>
      <c r="F894" s="2483"/>
      <c r="G894" s="2483"/>
      <c r="H894" s="2483"/>
      <c r="I894" s="2483"/>
      <c r="J894" s="2483"/>
      <c r="K894" s="2483"/>
      <c r="L894" s="2483"/>
      <c r="M894" s="2483"/>
      <c r="N894" s="2483"/>
      <c r="O894" s="2483"/>
      <c r="P894" s="2483"/>
      <c r="Q894" s="2485"/>
    </row>
    <row r="895" spans="1:17" ht="15">
      <c r="A895" s="2771" t="s">
        <v>1661</v>
      </c>
      <c r="B895" s="2771" t="s">
        <v>3891</v>
      </c>
      <c r="C895" s="2771"/>
      <c r="D895" s="2483"/>
      <c r="E895" s="2483"/>
      <c r="F895" s="2483"/>
      <c r="G895" s="2483"/>
      <c r="H895" s="2485"/>
      <c r="I895" s="2482"/>
      <c r="J895" s="2772"/>
      <c r="K895" s="2487"/>
      <c r="L895" s="2772"/>
      <c r="M895" s="2771"/>
      <c r="N895" s="2482"/>
      <c r="O895" s="2772" t="s">
        <v>1726</v>
      </c>
      <c r="P895" s="2487"/>
      <c r="Q895" s="2487"/>
    </row>
    <row r="896" spans="1:17" ht="14.1" customHeight="1">
      <c r="A896" s="2772"/>
      <c r="B896" s="2482" t="s">
        <v>2258</v>
      </c>
      <c r="C896" s="2482"/>
      <c r="D896" s="2482"/>
      <c r="E896" s="2482"/>
      <c r="F896" s="2482"/>
      <c r="G896" s="2482"/>
      <c r="H896" s="2482"/>
      <c r="I896" s="2770">
        <f>'Part VII-Threshold Criteria'!I53</f>
        <v>0</v>
      </c>
      <c r="J896" s="2770"/>
      <c r="K896" s="2770"/>
      <c r="L896" s="2770"/>
      <c r="M896" s="2770"/>
      <c r="N896" s="2770"/>
      <c r="O896" s="2770"/>
      <c r="P896" s="2770"/>
      <c r="Q896" s="2770"/>
    </row>
    <row r="897" spans="1:17" ht="15">
      <c r="A897" s="2772"/>
      <c r="B897" s="2482" t="s">
        <v>4658</v>
      </c>
      <c r="C897" s="2482"/>
      <c r="D897" s="2482"/>
      <c r="E897" s="2482"/>
      <c r="F897" s="2482"/>
      <c r="G897" s="2482"/>
      <c r="H897" s="2482"/>
      <c r="I897" s="2482">
        <f>'Part VII-Threshold Criteria'!I54</f>
        <v>0</v>
      </c>
      <c r="J897" s="2482"/>
      <c r="K897" s="2482"/>
      <c r="L897" s="2777"/>
      <c r="M897" s="2778"/>
      <c r="N897" s="2778"/>
      <c r="O897" s="2778"/>
      <c r="P897" s="2778"/>
      <c r="Q897" s="2485"/>
    </row>
    <row r="898" spans="1:17" ht="15">
      <c r="A898" s="2772"/>
      <c r="B898" s="2482" t="s">
        <v>4659</v>
      </c>
      <c r="C898" s="2482"/>
      <c r="D898" s="2482"/>
      <c r="E898" s="2482"/>
      <c r="F898" s="2482"/>
      <c r="G898" s="2482"/>
      <c r="H898" s="2777" t="s">
        <v>4660</v>
      </c>
      <c r="I898" s="2482">
        <f>'Part VII-Threshold Criteria'!I55</f>
        <v>0</v>
      </c>
      <c r="J898" s="2482"/>
      <c r="K898" s="2482"/>
      <c r="L898" s="2778"/>
      <c r="M898" s="2779" t="s">
        <v>4661</v>
      </c>
      <c r="N898" s="2482">
        <f>'Part VII-Threshold Criteria'!N55</f>
        <v>0</v>
      </c>
      <c r="O898" s="2482"/>
      <c r="P898" s="2482"/>
      <c r="Q898" s="2482"/>
    </row>
    <row r="899" spans="1:17" ht="15">
      <c r="A899" s="2482"/>
      <c r="B899" s="2774" t="s">
        <v>3157</v>
      </c>
      <c r="C899" s="2482"/>
      <c r="D899" s="2774"/>
      <c r="E899" s="2774"/>
      <c r="F899" s="2774"/>
      <c r="G899" s="2774"/>
      <c r="H899" s="2483"/>
      <c r="I899" s="2484"/>
      <c r="J899" s="2484"/>
      <c r="K899" s="2484"/>
      <c r="L899" s="2485"/>
      <c r="M899" s="2485"/>
      <c r="N899" s="2485"/>
      <c r="O899" s="2485"/>
      <c r="P899" s="2485"/>
      <c r="Q899" s="2485"/>
    </row>
    <row r="900" spans="1:17" ht="14.25">
      <c r="A900" s="2482">
        <f>'Part VII-Threshold Criteria'!A57</f>
        <v>0</v>
      </c>
      <c r="B900" s="2482"/>
      <c r="C900" s="2482"/>
      <c r="D900" s="2482"/>
      <c r="E900" s="2482"/>
      <c r="F900" s="2482"/>
      <c r="G900" s="2482"/>
      <c r="H900" s="2482"/>
      <c r="I900" s="2482"/>
      <c r="J900" s="2482"/>
      <c r="K900" s="2482"/>
      <c r="L900" s="2482"/>
      <c r="M900" s="2482"/>
      <c r="N900" s="2482"/>
      <c r="O900" s="2482"/>
      <c r="P900" s="2482"/>
      <c r="Q900" s="2482"/>
    </row>
    <row r="901" spans="1:17" ht="14.25">
      <c r="A901" s="2482"/>
      <c r="B901" s="2773" t="s">
        <v>1725</v>
      </c>
      <c r="C901" s="2773"/>
      <c r="D901" s="2483"/>
      <c r="E901" s="2483"/>
      <c r="F901" s="2483"/>
      <c r="G901" s="2483"/>
      <c r="H901" s="2483"/>
      <c r="I901" s="2483"/>
      <c r="J901" s="2483"/>
      <c r="K901" s="2483"/>
      <c r="L901" s="2483"/>
      <c r="M901" s="2483"/>
      <c r="N901" s="2483"/>
      <c r="O901" s="2483"/>
      <c r="P901" s="2483"/>
      <c r="Q901" s="2483"/>
    </row>
    <row r="902" spans="1:17" ht="14.25">
      <c r="A902" s="2482"/>
      <c r="B902" s="2482"/>
      <c r="C902" s="2482"/>
      <c r="D902" s="2482"/>
      <c r="E902" s="2482"/>
      <c r="F902" s="2482"/>
      <c r="G902" s="2482"/>
      <c r="H902" s="2482"/>
      <c r="I902" s="2482"/>
      <c r="J902" s="2482"/>
      <c r="K902" s="2482"/>
      <c r="L902" s="2482"/>
      <c r="M902" s="2482"/>
      <c r="N902" s="2482"/>
      <c r="O902" s="2482"/>
      <c r="P902" s="2482"/>
      <c r="Q902" s="2482"/>
    </row>
    <row r="903" spans="1:17" ht="14.25">
      <c r="A903" s="2483"/>
      <c r="B903" s="2483"/>
      <c r="C903" s="2483"/>
      <c r="D903" s="2483"/>
      <c r="E903" s="2483"/>
      <c r="F903" s="2483"/>
      <c r="G903" s="2483"/>
      <c r="H903" s="2483"/>
      <c r="I903" s="2483"/>
      <c r="J903" s="2483"/>
      <c r="K903" s="2483"/>
      <c r="L903" s="2483"/>
      <c r="M903" s="2483"/>
      <c r="N903" s="2483"/>
      <c r="O903" s="2483"/>
      <c r="P903" s="2483"/>
      <c r="Q903" s="2483"/>
    </row>
    <row r="904" spans="1:17" ht="15">
      <c r="A904" s="2771"/>
      <c r="B904" s="2483"/>
      <c r="C904" s="2483"/>
      <c r="D904" s="2483"/>
      <c r="E904" s="2483"/>
      <c r="F904" s="2483"/>
      <c r="G904" s="2483"/>
      <c r="H904" s="2483"/>
      <c r="I904" s="2483"/>
      <c r="J904" s="2483"/>
      <c r="K904" s="2483"/>
      <c r="L904" s="2483"/>
      <c r="M904" s="2483"/>
      <c r="N904" s="2483"/>
      <c r="O904" s="2483"/>
      <c r="P904" s="2483"/>
      <c r="Q904" s="2483"/>
    </row>
    <row r="905" spans="1:17" ht="15">
      <c r="A905" s="2771" t="s">
        <v>1663</v>
      </c>
      <c r="B905" s="2771" t="s">
        <v>2416</v>
      </c>
      <c r="C905" s="2771"/>
      <c r="D905" s="2483"/>
      <c r="E905" s="2483"/>
      <c r="F905" s="2483"/>
      <c r="G905" s="2483"/>
      <c r="H905" s="2483"/>
      <c r="I905" s="2483"/>
      <c r="J905" s="2483"/>
      <c r="K905" s="2483"/>
      <c r="L905" s="2483"/>
      <c r="M905" s="2483"/>
      <c r="N905" s="2482"/>
      <c r="O905" s="2772" t="s">
        <v>1726</v>
      </c>
      <c r="P905" s="2487"/>
      <c r="Q905" s="2487"/>
    </row>
    <row r="906" spans="1:17" ht="15">
      <c r="A906" s="2772"/>
      <c r="B906" s="2482" t="s">
        <v>4662</v>
      </c>
      <c r="C906" s="2482"/>
      <c r="D906" s="2482"/>
      <c r="E906" s="2482"/>
      <c r="F906" s="2482"/>
      <c r="G906" s="2482"/>
      <c r="H906" s="2482"/>
      <c r="I906" s="2482"/>
      <c r="J906" s="2482">
        <f>'Part VII-Threshold Criteria'!J63</f>
        <v>0</v>
      </c>
      <c r="K906" s="2482"/>
      <c r="L906" s="2482"/>
      <c r="M906" s="2482"/>
      <c r="N906" s="2482"/>
      <c r="O906" s="2482"/>
      <c r="P906" s="2482"/>
      <c r="Q906" s="2482"/>
    </row>
    <row r="907" spans="1:17" ht="15">
      <c r="A907" s="2772"/>
      <c r="B907" s="2482" t="s">
        <v>3824</v>
      </c>
      <c r="C907" s="2482"/>
      <c r="D907" s="2482"/>
      <c r="E907" s="2482"/>
      <c r="F907" s="2482"/>
      <c r="G907" s="2482"/>
      <c r="H907" s="2482"/>
      <c r="I907" s="2482"/>
      <c r="J907" s="2482"/>
      <c r="K907" s="2482"/>
      <c r="L907" s="2482"/>
      <c r="M907" s="2482"/>
      <c r="N907" s="2482"/>
      <c r="O907" s="2777"/>
      <c r="P907" s="2485">
        <f>'Part VII-Threshold Criteria'!P64</f>
        <v>0</v>
      </c>
      <c r="Q907" s="2485"/>
    </row>
    <row r="908" spans="1:17" ht="14.1" customHeight="1">
      <c r="A908" s="2482"/>
      <c r="B908" s="2771"/>
      <c r="C908" s="2482" t="s">
        <v>4796</v>
      </c>
      <c r="D908" s="2482"/>
      <c r="E908" s="2482"/>
      <c r="F908" s="2482"/>
      <c r="G908" s="2482"/>
      <c r="H908" s="2482"/>
      <c r="I908" s="2482"/>
      <c r="J908" s="2482"/>
      <c r="K908" s="2482"/>
      <c r="L908" s="2482"/>
      <c r="M908" s="2482"/>
      <c r="N908" s="2482"/>
      <c r="O908" s="2482"/>
      <c r="P908" s="2485">
        <f>'Part VII-Threshold Criteria'!P65</f>
        <v>0</v>
      </c>
      <c r="Q908" s="2485"/>
    </row>
    <row r="909" spans="1:17" ht="15">
      <c r="A909" s="2482"/>
      <c r="B909" s="2774" t="s">
        <v>4656</v>
      </c>
      <c r="C909" s="2482"/>
      <c r="D909" s="2774"/>
      <c r="E909" s="2774"/>
      <c r="F909" s="2774"/>
      <c r="G909" s="2774"/>
      <c r="H909" s="2483"/>
      <c r="I909" s="2484"/>
      <c r="J909" s="2484"/>
      <c r="K909" s="2484"/>
      <c r="L909" s="2485"/>
      <c r="M909" s="2485"/>
      <c r="N909" s="2485"/>
      <c r="O909" s="2485"/>
      <c r="P909" s="2485"/>
      <c r="Q909" s="2485"/>
    </row>
    <row r="910" spans="1:17" ht="14.25">
      <c r="A910" s="2482">
        <f>'Part VII-Threshold Criteria'!A67</f>
        <v>0</v>
      </c>
      <c r="B910" s="2482"/>
      <c r="C910" s="2482"/>
      <c r="D910" s="2482"/>
      <c r="E910" s="2482"/>
      <c r="F910" s="2482"/>
      <c r="G910" s="2482"/>
      <c r="H910" s="2482"/>
      <c r="I910" s="2482"/>
      <c r="J910" s="2482"/>
      <c r="K910" s="2482"/>
      <c r="L910" s="2482"/>
      <c r="M910" s="2482"/>
      <c r="N910" s="2482"/>
      <c r="O910" s="2482"/>
      <c r="P910" s="2482"/>
      <c r="Q910" s="2482"/>
    </row>
    <row r="911" spans="1:17" ht="14.25">
      <c r="A911" s="2482"/>
      <c r="B911" s="2773" t="s">
        <v>1725</v>
      </c>
      <c r="C911" s="2773"/>
      <c r="D911" s="2483"/>
      <c r="E911" s="2483"/>
      <c r="F911" s="2483"/>
      <c r="G911" s="2483"/>
      <c r="H911" s="2483"/>
      <c r="I911" s="2483"/>
      <c r="J911" s="2483"/>
      <c r="K911" s="2483"/>
      <c r="L911" s="2483"/>
      <c r="M911" s="2483"/>
      <c r="N911" s="2483"/>
      <c r="O911" s="2483"/>
      <c r="P911" s="2483"/>
      <c r="Q911" s="2483"/>
    </row>
    <row r="912" spans="1:17" ht="14.25">
      <c r="A912" s="2482"/>
      <c r="B912" s="2482"/>
      <c r="C912" s="2482"/>
      <c r="D912" s="2482"/>
      <c r="E912" s="2482"/>
      <c r="F912" s="2482"/>
      <c r="G912" s="2482"/>
      <c r="H912" s="2482"/>
      <c r="I912" s="2482"/>
      <c r="J912" s="2482"/>
      <c r="K912" s="2482"/>
      <c r="L912" s="2482"/>
      <c r="M912" s="2482"/>
      <c r="N912" s="2482"/>
      <c r="O912" s="2482"/>
      <c r="P912" s="2482"/>
      <c r="Q912" s="2482"/>
    </row>
    <row r="913" spans="1:17" ht="14.25">
      <c r="A913" s="2482"/>
      <c r="B913" s="2482"/>
      <c r="C913" s="2482"/>
      <c r="D913" s="2482"/>
      <c r="E913" s="2482"/>
      <c r="F913" s="2482"/>
      <c r="G913" s="2482"/>
      <c r="H913" s="2482"/>
      <c r="I913" s="2482"/>
      <c r="J913" s="2482"/>
      <c r="K913" s="2482"/>
      <c r="L913" s="2482"/>
      <c r="M913" s="2482"/>
      <c r="N913" s="2482"/>
      <c r="O913" s="2482"/>
      <c r="P913" s="2482"/>
      <c r="Q913" s="2482"/>
    </row>
    <row r="914" spans="1:17" ht="14.25">
      <c r="A914" s="2482"/>
      <c r="B914" s="2482"/>
      <c r="C914" s="2482"/>
      <c r="D914" s="2482"/>
      <c r="E914" s="2482"/>
      <c r="F914" s="2482"/>
      <c r="G914" s="2482"/>
      <c r="H914" s="2482"/>
      <c r="I914" s="2482"/>
      <c r="J914" s="2482"/>
      <c r="K914" s="2482"/>
      <c r="L914" s="2482"/>
      <c r="M914" s="2482"/>
      <c r="N914" s="2482"/>
      <c r="O914" s="2482"/>
      <c r="P914" s="2482"/>
      <c r="Q914" s="2482"/>
    </row>
    <row r="915" spans="1:17" ht="15">
      <c r="A915" s="2771" t="s">
        <v>495</v>
      </c>
      <c r="B915" s="2771" t="s">
        <v>2417</v>
      </c>
      <c r="C915" s="2483"/>
      <c r="D915" s="2483"/>
      <c r="E915" s="2483"/>
      <c r="F915" s="2483"/>
      <c r="G915" s="2483"/>
      <c r="H915" s="2483"/>
      <c r="I915" s="2483"/>
      <c r="J915" s="2483"/>
      <c r="K915" s="2483"/>
      <c r="L915" s="2483"/>
      <c r="M915" s="2483"/>
      <c r="N915" s="2482"/>
      <c r="O915" s="2772" t="s">
        <v>1726</v>
      </c>
      <c r="P915" s="2487"/>
      <c r="Q915" s="2487"/>
    </row>
    <row r="916" spans="1:17" ht="14.1" customHeight="1">
      <c r="A916" s="2772"/>
      <c r="B916" s="2482" t="s">
        <v>5000</v>
      </c>
      <c r="C916" s="2482"/>
      <c r="D916" s="2482"/>
      <c r="E916" s="2482"/>
      <c r="F916" s="2482"/>
      <c r="G916" s="2482"/>
      <c r="H916" s="2482"/>
      <c r="I916" s="2482"/>
      <c r="J916" s="2482"/>
      <c r="K916" s="2482"/>
      <c r="L916" s="2780">
        <f>'Part VII-Threshold Criteria'!L73</f>
        <v>0</v>
      </c>
      <c r="M916" s="2780"/>
      <c r="N916" s="2780"/>
      <c r="O916" s="2780"/>
      <c r="P916" s="2780"/>
      <c r="Q916" s="2780"/>
    </row>
    <row r="917" spans="1:17" ht="15">
      <c r="A917" s="2482"/>
      <c r="B917" s="2482" t="s">
        <v>4663</v>
      </c>
      <c r="C917" s="2482"/>
      <c r="D917" s="2482"/>
      <c r="E917" s="2482"/>
      <c r="F917" s="2482"/>
      <c r="G917" s="2482"/>
      <c r="H917" s="2482"/>
      <c r="I917" s="2482"/>
      <c r="J917" s="2482"/>
      <c r="K917" s="2482"/>
      <c r="L917" s="2482"/>
      <c r="M917" s="2482"/>
      <c r="N917" s="2482"/>
      <c r="O917" s="2777"/>
      <c r="P917" s="2485">
        <f>'Part VII-Threshold Criteria'!P74</f>
        <v>0</v>
      </c>
      <c r="Q917" s="2485"/>
    </row>
    <row r="918" spans="1:17" ht="15">
      <c r="A918" s="2772"/>
      <c r="B918" s="2482" t="s">
        <v>4527</v>
      </c>
      <c r="C918" s="2482"/>
      <c r="D918" s="2482"/>
      <c r="E918" s="2482"/>
      <c r="F918" s="2482"/>
      <c r="G918" s="2482"/>
      <c r="H918" s="2482"/>
      <c r="I918" s="2482"/>
      <c r="J918" s="2482"/>
      <c r="K918" s="2482"/>
      <c r="L918" s="2483"/>
      <c r="M918" s="2482"/>
      <c r="N918" s="2482"/>
      <c r="O918" s="2777"/>
      <c r="P918" s="2485">
        <f>'Part VII-Threshold Criteria'!P75</f>
        <v>0</v>
      </c>
      <c r="Q918" s="2485"/>
    </row>
    <row r="919" spans="1:17" ht="15">
      <c r="A919" s="2772"/>
      <c r="B919" s="2482" t="s">
        <v>4664</v>
      </c>
      <c r="C919" s="2482"/>
      <c r="D919" s="2482"/>
      <c r="E919" s="2482"/>
      <c r="F919" s="2482"/>
      <c r="G919" s="2482"/>
      <c r="H919" s="2482"/>
      <c r="I919" s="2482"/>
      <c r="J919" s="2482"/>
      <c r="K919" s="2482"/>
      <c r="L919" s="2483"/>
      <c r="M919" s="2483"/>
      <c r="N919" s="2483"/>
      <c r="O919" s="2777"/>
      <c r="P919" s="2482"/>
      <c r="Q919" s="2482"/>
    </row>
    <row r="920" spans="1:17" ht="15">
      <c r="A920" s="2772"/>
      <c r="B920" s="2771"/>
      <c r="C920" s="2482" t="s">
        <v>4665</v>
      </c>
      <c r="D920" s="2482"/>
      <c r="E920" s="2482"/>
      <c r="F920" s="2482"/>
      <c r="G920" s="2482"/>
      <c r="H920" s="2482"/>
      <c r="I920" s="2482"/>
      <c r="J920" s="2482"/>
      <c r="K920" s="2482"/>
      <c r="L920" s="2483"/>
      <c r="M920" s="2483"/>
      <c r="N920" s="2482"/>
      <c r="O920" s="2777"/>
      <c r="P920" s="2485">
        <f>'Part VII-Threshold Criteria'!P77</f>
        <v>0</v>
      </c>
      <c r="Q920" s="2485"/>
    </row>
    <row r="921" spans="1:17" ht="15">
      <c r="A921" s="2772"/>
      <c r="B921" s="2771"/>
      <c r="C921" s="2482" t="s">
        <v>4666</v>
      </c>
      <c r="D921" s="2482"/>
      <c r="E921" s="2482"/>
      <c r="F921" s="2482"/>
      <c r="G921" s="2482"/>
      <c r="H921" s="2482"/>
      <c r="I921" s="2482"/>
      <c r="J921" s="2482"/>
      <c r="K921" s="2482"/>
      <c r="L921" s="2483"/>
      <c r="M921" s="2483"/>
      <c r="N921" s="2482"/>
      <c r="O921" s="2777"/>
      <c r="P921" s="2485">
        <f>'Part VII-Threshold Criteria'!P78</f>
        <v>0</v>
      </c>
      <c r="Q921" s="2485"/>
    </row>
    <row r="922" spans="1:17" ht="15">
      <c r="A922" s="2512"/>
      <c r="B922" s="2781"/>
      <c r="C922" s="2781"/>
      <c r="D922" s="2769" t="s">
        <v>4667</v>
      </c>
      <c r="E922" s="2782"/>
      <c r="F922" s="2782"/>
      <c r="G922" s="2769"/>
      <c r="H922" s="2769"/>
      <c r="I922" s="2513"/>
      <c r="J922" s="2770"/>
      <c r="K922" s="2770"/>
      <c r="L922" s="2513"/>
      <c r="M922" s="2513"/>
      <c r="N922" s="2770"/>
      <c r="O922" s="2783"/>
      <c r="P922" s="2485">
        <f>'Part VII-Threshold Criteria'!P79</f>
        <v>0</v>
      </c>
      <c r="Q922" s="2784"/>
    </row>
    <row r="923" spans="1:17" ht="15">
      <c r="A923" s="2772"/>
      <c r="B923" s="2771"/>
      <c r="C923" s="2482" t="s">
        <v>4668</v>
      </c>
      <c r="D923" s="2482"/>
      <c r="E923" s="2482"/>
      <c r="F923" s="2482"/>
      <c r="G923" s="2482"/>
      <c r="H923" s="2482"/>
      <c r="I923" s="2482"/>
      <c r="J923" s="2482"/>
      <c r="K923" s="2482"/>
      <c r="L923" s="2483"/>
      <c r="M923" s="2483"/>
      <c r="N923" s="2482"/>
      <c r="O923" s="2777"/>
      <c r="P923" s="2485">
        <f>'Part VII-Threshold Criteria'!P80</f>
        <v>0</v>
      </c>
      <c r="Q923" s="2485"/>
    </row>
    <row r="924" spans="1:17" ht="14.1" customHeight="1">
      <c r="A924" s="2772"/>
      <c r="B924" s="2482" t="s">
        <v>4822</v>
      </c>
      <c r="C924" s="2482"/>
      <c r="D924" s="2482"/>
      <c r="E924" s="2482"/>
      <c r="F924" s="2482"/>
      <c r="G924" s="2482"/>
      <c r="H924" s="2482"/>
      <c r="I924" s="2482"/>
      <c r="J924" s="2482"/>
      <c r="K924" s="2482"/>
      <c r="L924" s="2482"/>
      <c r="M924" s="2482"/>
      <c r="N924" s="2482"/>
      <c r="O924" s="2482"/>
      <c r="P924" s="2482"/>
      <c r="Q924" s="2482"/>
    </row>
    <row r="925" spans="1:17" ht="14.25">
      <c r="A925" s="2482"/>
      <c r="B925" s="2482">
        <f>'Part VII-Threshold Criteria'!B82</f>
        <v>0</v>
      </c>
      <c r="C925" s="2482"/>
      <c r="D925" s="2482"/>
      <c r="E925" s="2482"/>
      <c r="F925" s="2482"/>
      <c r="G925" s="2482"/>
      <c r="H925" s="2482"/>
      <c r="I925" s="2482"/>
      <c r="J925" s="2482"/>
      <c r="K925" s="2482"/>
      <c r="L925" s="2482"/>
      <c r="M925" s="2482"/>
      <c r="N925" s="2482"/>
      <c r="O925" s="2482"/>
      <c r="P925" s="2482"/>
      <c r="Q925" s="2482"/>
    </row>
    <row r="926" spans="1:17" ht="15">
      <c r="A926" s="2482"/>
      <c r="B926" s="2774" t="s">
        <v>3157</v>
      </c>
      <c r="C926" s="2482"/>
      <c r="D926" s="2774"/>
      <c r="E926" s="2774"/>
      <c r="F926" s="2774"/>
      <c r="G926" s="2774"/>
      <c r="H926" s="2483"/>
      <c r="I926" s="2484"/>
      <c r="J926" s="2484"/>
      <c r="K926" s="2484"/>
      <c r="L926" s="2485"/>
      <c r="M926" s="2485"/>
      <c r="N926" s="2485"/>
      <c r="O926" s="2485"/>
      <c r="P926" s="2485"/>
      <c r="Q926" s="2485"/>
    </row>
    <row r="927" spans="1:17" ht="14.25">
      <c r="A927" s="2482">
        <f>'Part VII-Threshold Criteria'!A84</f>
        <v>0</v>
      </c>
      <c r="B927" s="2482"/>
      <c r="C927" s="2482"/>
      <c r="D927" s="2482"/>
      <c r="E927" s="2482"/>
      <c r="F927" s="2482"/>
      <c r="G927" s="2482"/>
      <c r="H927" s="2482"/>
      <c r="I927" s="2482"/>
      <c r="J927" s="2482"/>
      <c r="K927" s="2482"/>
      <c r="L927" s="2482"/>
      <c r="M927" s="2482"/>
      <c r="N927" s="2482"/>
      <c r="O927" s="2482"/>
      <c r="P927" s="2482"/>
      <c r="Q927" s="2482"/>
    </row>
    <row r="928" spans="1:17" ht="14.25">
      <c r="A928" s="2482"/>
      <c r="B928" s="2773" t="s">
        <v>1725</v>
      </c>
      <c r="C928" s="2773"/>
      <c r="D928" s="2483"/>
      <c r="E928" s="2483"/>
      <c r="F928" s="2483"/>
      <c r="G928" s="2483"/>
      <c r="H928" s="2483"/>
      <c r="I928" s="2483"/>
      <c r="J928" s="2483"/>
      <c r="K928" s="2483"/>
      <c r="L928" s="2483"/>
      <c r="M928" s="2483"/>
      <c r="N928" s="2483"/>
      <c r="O928" s="2483"/>
      <c r="P928" s="2483"/>
      <c r="Q928" s="2483"/>
    </row>
    <row r="929" spans="1:17" ht="14.25">
      <c r="A929" s="2482"/>
      <c r="B929" s="2482"/>
      <c r="C929" s="2482"/>
      <c r="D929" s="2482"/>
      <c r="E929" s="2482"/>
      <c r="F929" s="2482"/>
      <c r="G929" s="2482"/>
      <c r="H929" s="2482"/>
      <c r="I929" s="2482"/>
      <c r="J929" s="2482"/>
      <c r="K929" s="2482"/>
      <c r="L929" s="2482"/>
      <c r="M929" s="2482"/>
      <c r="N929" s="2482"/>
      <c r="O929" s="2482"/>
      <c r="P929" s="2482"/>
      <c r="Q929" s="2482"/>
    </row>
    <row r="930" spans="1:17" ht="15">
      <c r="A930" s="2485"/>
      <c r="B930" s="2484"/>
      <c r="C930" s="2483"/>
      <c r="D930" s="2483"/>
      <c r="E930" s="2483"/>
      <c r="F930" s="2483"/>
      <c r="G930" s="2483"/>
      <c r="H930" s="2483"/>
      <c r="I930" s="2483"/>
      <c r="J930" s="2483"/>
      <c r="K930" s="2483"/>
      <c r="L930" s="2483"/>
      <c r="M930" s="2483"/>
      <c r="N930" s="2483"/>
      <c r="O930" s="2483"/>
      <c r="P930" s="2483"/>
      <c r="Q930" s="2485"/>
    </row>
    <row r="931" spans="1:17" ht="15">
      <c r="A931" s="2482"/>
      <c r="B931" s="2484"/>
      <c r="C931" s="2483"/>
      <c r="D931" s="2483"/>
      <c r="E931" s="2483"/>
      <c r="F931" s="2483"/>
      <c r="G931" s="2483"/>
      <c r="H931" s="2483"/>
      <c r="I931" s="2483"/>
      <c r="J931" s="2483"/>
      <c r="K931" s="2483"/>
      <c r="L931" s="2483"/>
      <c r="M931" s="2483"/>
      <c r="N931" s="2483"/>
      <c r="O931" s="2483"/>
      <c r="P931" s="2483"/>
      <c r="Q931" s="2485"/>
    </row>
    <row r="932" spans="1:17" ht="15">
      <c r="A932" s="2771" t="s">
        <v>719</v>
      </c>
      <c r="B932" s="2771" t="s">
        <v>2418</v>
      </c>
      <c r="C932" s="2771"/>
      <c r="D932" s="2483"/>
      <c r="E932" s="2483"/>
      <c r="F932" s="2483"/>
      <c r="G932" s="2483"/>
      <c r="H932" s="2483"/>
      <c r="I932" s="2483"/>
      <c r="J932" s="2483"/>
      <c r="K932" s="2483"/>
      <c r="L932" s="2482"/>
      <c r="M932" s="2482"/>
      <c r="N932" s="2482"/>
      <c r="O932" s="2772" t="s">
        <v>1726</v>
      </c>
      <c r="P932" s="2487"/>
      <c r="Q932" s="2487"/>
    </row>
    <row r="933" spans="1:17" ht="14.1" customHeight="1">
      <c r="A933" s="2772"/>
      <c r="B933" s="2482" t="s">
        <v>143</v>
      </c>
      <c r="C933" s="2482"/>
      <c r="D933" s="2482"/>
      <c r="E933" s="2482"/>
      <c r="F933" s="2785" t="str">
        <f>IF(L933="Ground lease/Option","Ground lease/Option:","")</f>
        <v/>
      </c>
      <c r="G933" s="2482"/>
      <c r="H933" s="2786" t="str">
        <f>IF(L933="Ground lease/Option","Annual Pymt:","")</f>
        <v/>
      </c>
      <c r="I933" s="2787" t="str">
        <f>IF(M973="Ground lease/Option",'Part V-Revenues &amp; Expenses'!$K$255,"")</f>
        <v/>
      </c>
      <c r="J933" s="2788" t="str">
        <f>IF(L933="Ground lease/Option","Term (yrs):","")</f>
        <v/>
      </c>
      <c r="K933" s="2789" t="str">
        <f>IF(M973="Ground lease/Option",'Part V-Revenues &amp; Expenses'!$N$255,"")</f>
        <v/>
      </c>
      <c r="L933" s="2487" t="str">
        <f>'Part VII-Threshold Criteria'!L90</f>
        <v>&lt;&lt;Select&gt;&gt;</v>
      </c>
      <c r="M933" s="2487"/>
      <c r="N933" s="2487"/>
      <c r="O933" s="2487" t="s">
        <v>1641</v>
      </c>
      <c r="P933" s="2487"/>
      <c r="Q933" s="2487"/>
    </row>
    <row r="934" spans="1:17" ht="15">
      <c r="A934" s="2772"/>
      <c r="B934" s="2482" t="s">
        <v>635</v>
      </c>
      <c r="C934" s="2482"/>
      <c r="D934" s="2482"/>
      <c r="E934" s="2482"/>
      <c r="F934" s="2482"/>
      <c r="G934" s="2482">
        <f>'Part VII-Threshold Criteria'!G91</f>
        <v>0</v>
      </c>
      <c r="H934" s="2482"/>
      <c r="I934" s="2482"/>
      <c r="J934" s="2482"/>
      <c r="K934" s="2482"/>
      <c r="L934" s="2482"/>
      <c r="M934" s="2482"/>
      <c r="N934" s="2482"/>
      <c r="O934" s="2482"/>
      <c r="P934" s="2482"/>
      <c r="Q934" s="2482"/>
    </row>
    <row r="935" spans="1:17" ht="15">
      <c r="A935" s="2482"/>
      <c r="B935" s="2774" t="s">
        <v>3157</v>
      </c>
      <c r="C935" s="2482"/>
      <c r="D935" s="2774"/>
      <c r="E935" s="2774"/>
      <c r="F935" s="2774"/>
      <c r="G935" s="2774"/>
      <c r="H935" s="2483"/>
      <c r="I935" s="2484"/>
      <c r="J935" s="2484"/>
      <c r="K935" s="2484"/>
      <c r="L935" s="2485"/>
      <c r="M935" s="2485"/>
      <c r="N935" s="2485"/>
      <c r="O935" s="2485"/>
      <c r="P935" s="2485"/>
      <c r="Q935" s="2485"/>
    </row>
    <row r="936" spans="1:17" ht="14.25">
      <c r="A936" s="2482">
        <f>'Part VII-Threshold Criteria'!A93</f>
        <v>0</v>
      </c>
      <c r="B936" s="2482"/>
      <c r="C936" s="2482"/>
      <c r="D936" s="2482"/>
      <c r="E936" s="2482"/>
      <c r="F936" s="2482"/>
      <c r="G936" s="2482"/>
      <c r="H936" s="2482"/>
      <c r="I936" s="2482"/>
      <c r="J936" s="2482"/>
      <c r="K936" s="2482"/>
      <c r="L936" s="2482"/>
      <c r="M936" s="2482"/>
      <c r="N936" s="2482"/>
      <c r="O936" s="2482"/>
      <c r="P936" s="2482"/>
      <c r="Q936" s="2482"/>
    </row>
    <row r="937" spans="1:17" ht="14.25">
      <c r="A937" s="2482"/>
      <c r="B937" s="2773" t="s">
        <v>1725</v>
      </c>
      <c r="C937" s="2773"/>
      <c r="D937" s="2483"/>
      <c r="E937" s="2483"/>
      <c r="F937" s="2483"/>
      <c r="G937" s="2483"/>
      <c r="H937" s="2483"/>
      <c r="I937" s="2483"/>
      <c r="J937" s="2483"/>
      <c r="K937" s="2483"/>
      <c r="L937" s="2483"/>
      <c r="M937" s="2483"/>
      <c r="N937" s="2483"/>
      <c r="O937" s="2483"/>
      <c r="P937" s="2483"/>
      <c r="Q937" s="2483"/>
    </row>
    <row r="938" spans="1:17" ht="14.25">
      <c r="A938" s="2482"/>
      <c r="B938" s="2482"/>
      <c r="C938" s="2482"/>
      <c r="D938" s="2482"/>
      <c r="E938" s="2482"/>
      <c r="F938" s="2482"/>
      <c r="G938" s="2482"/>
      <c r="H938" s="2482"/>
      <c r="I938" s="2482"/>
      <c r="J938" s="2482"/>
      <c r="K938" s="2482"/>
      <c r="L938" s="2482"/>
      <c r="M938" s="2482"/>
      <c r="N938" s="2482"/>
      <c r="O938" s="2482"/>
      <c r="P938" s="2482"/>
      <c r="Q938" s="2482"/>
    </row>
    <row r="939" spans="1:17" ht="15">
      <c r="A939" s="2485"/>
      <c r="B939" s="2484"/>
      <c r="C939" s="2483"/>
      <c r="D939" s="2483"/>
      <c r="E939" s="2483"/>
      <c r="F939" s="2483"/>
      <c r="G939" s="2483"/>
      <c r="H939" s="2483"/>
      <c r="I939" s="2483"/>
      <c r="J939" s="2483"/>
      <c r="K939" s="2483"/>
      <c r="L939" s="2483"/>
      <c r="M939" s="2483"/>
      <c r="N939" s="2482"/>
      <c r="O939" s="2482"/>
      <c r="P939" s="2482"/>
      <c r="Q939" s="2485"/>
    </row>
    <row r="940" spans="1:17" ht="15">
      <c r="A940" s="2482"/>
      <c r="B940" s="2484"/>
      <c r="C940" s="2483"/>
      <c r="D940" s="2483"/>
      <c r="E940" s="2483"/>
      <c r="F940" s="2483"/>
      <c r="G940" s="2483"/>
      <c r="H940" s="2483"/>
      <c r="I940" s="2483"/>
      <c r="J940" s="2483"/>
      <c r="K940" s="2483"/>
      <c r="L940" s="2483"/>
      <c r="M940" s="2483"/>
      <c r="N940" s="2482"/>
      <c r="O940" s="2482"/>
      <c r="P940" s="2482"/>
      <c r="Q940" s="2485"/>
    </row>
    <row r="941" spans="1:17" ht="15">
      <c r="A941" s="2771" t="s">
        <v>280</v>
      </c>
      <c r="B941" s="2771" t="s">
        <v>2419</v>
      </c>
      <c r="C941" s="2771"/>
      <c r="D941" s="2483"/>
      <c r="E941" s="2483"/>
      <c r="F941" s="2483"/>
      <c r="G941" s="2483"/>
      <c r="H941" s="2483"/>
      <c r="I941" s="2483"/>
      <c r="J941" s="2483"/>
      <c r="K941" s="2483"/>
      <c r="L941" s="2483"/>
      <c r="M941" s="2483"/>
      <c r="N941" s="2482"/>
      <c r="O941" s="2772" t="s">
        <v>1726</v>
      </c>
      <c r="P941" s="2487"/>
      <c r="Q941" s="2487"/>
    </row>
    <row r="942" spans="1:17" ht="15">
      <c r="A942" s="2482"/>
      <c r="B942" s="2774" t="s">
        <v>3157</v>
      </c>
      <c r="C942" s="2482"/>
      <c r="D942" s="2774"/>
      <c r="E942" s="2774"/>
      <c r="F942" s="2774"/>
      <c r="G942" s="2774"/>
      <c r="H942" s="2483"/>
      <c r="I942" s="2484"/>
      <c r="J942" s="2484"/>
      <c r="K942" s="2484"/>
      <c r="L942" s="2485"/>
      <c r="M942" s="2485"/>
      <c r="N942" s="2485"/>
      <c r="O942" s="2485"/>
      <c r="P942" s="2485"/>
      <c r="Q942" s="2485"/>
    </row>
    <row r="943" spans="1:17" ht="14.25">
      <c r="A943" s="2482">
        <f>'Part VII-Threshold Criteria'!A100</f>
        <v>0</v>
      </c>
      <c r="B943" s="2482"/>
      <c r="C943" s="2482"/>
      <c r="D943" s="2482"/>
      <c r="E943" s="2482"/>
      <c r="F943" s="2482"/>
      <c r="G943" s="2482"/>
      <c r="H943" s="2482"/>
      <c r="I943" s="2482"/>
      <c r="J943" s="2482"/>
      <c r="K943" s="2482"/>
      <c r="L943" s="2482"/>
      <c r="M943" s="2482"/>
      <c r="N943" s="2482"/>
      <c r="O943" s="2482"/>
      <c r="P943" s="2482"/>
      <c r="Q943" s="2482"/>
    </row>
    <row r="944" spans="1:17" ht="14.25">
      <c r="A944" s="2482"/>
      <c r="B944" s="2773" t="s">
        <v>1725</v>
      </c>
      <c r="C944" s="2773"/>
      <c r="D944" s="2483"/>
      <c r="E944" s="2483"/>
      <c r="F944" s="2483"/>
      <c r="G944" s="2483"/>
      <c r="H944" s="2483"/>
      <c r="I944" s="2483"/>
      <c r="J944" s="2483"/>
      <c r="K944" s="2483"/>
      <c r="L944" s="2483"/>
      <c r="M944" s="2483"/>
      <c r="N944" s="2483"/>
      <c r="O944" s="2483"/>
      <c r="P944" s="2483"/>
      <c r="Q944" s="2483"/>
    </row>
    <row r="945" spans="1:17" ht="14.25">
      <c r="A945" s="2482"/>
      <c r="B945" s="2482"/>
      <c r="C945" s="2482"/>
      <c r="D945" s="2482"/>
      <c r="E945" s="2482"/>
      <c r="F945" s="2482"/>
      <c r="G945" s="2482"/>
      <c r="H945" s="2482"/>
      <c r="I945" s="2482"/>
      <c r="J945" s="2482"/>
      <c r="K945" s="2482"/>
      <c r="L945" s="2482"/>
      <c r="M945" s="2482"/>
      <c r="N945" s="2482"/>
      <c r="O945" s="2482"/>
      <c r="P945" s="2482"/>
      <c r="Q945" s="2482"/>
    </row>
    <row r="946" spans="1:17" ht="15">
      <c r="A946" s="2482"/>
      <c r="B946" s="2484"/>
      <c r="C946" s="2483"/>
      <c r="D946" s="2483"/>
      <c r="E946" s="2483"/>
      <c r="F946" s="2483"/>
      <c r="G946" s="2483"/>
      <c r="H946" s="2483"/>
      <c r="I946" s="2483"/>
      <c r="J946" s="2483"/>
      <c r="K946" s="2483"/>
      <c r="L946" s="2483"/>
      <c r="M946" s="2483"/>
      <c r="N946" s="2483"/>
      <c r="O946" s="2483"/>
      <c r="P946" s="2483"/>
      <c r="Q946" s="2485"/>
    </row>
    <row r="947" spans="1:17" ht="15">
      <c r="A947" s="2482"/>
      <c r="B947" s="2484"/>
      <c r="C947" s="2483"/>
      <c r="D947" s="2483"/>
      <c r="E947" s="2483"/>
      <c r="F947" s="2483"/>
      <c r="G947" s="2483"/>
      <c r="H947" s="2483"/>
      <c r="I947" s="2483"/>
      <c r="J947" s="2483"/>
      <c r="K947" s="2483"/>
      <c r="L947" s="2483"/>
      <c r="M947" s="2483"/>
      <c r="N947" s="2483"/>
      <c r="O947" s="2483"/>
      <c r="P947" s="2483"/>
      <c r="Q947" s="2485"/>
    </row>
    <row r="948" spans="1:17" ht="15">
      <c r="A948" s="2771" t="s">
        <v>400</v>
      </c>
      <c r="B948" s="2487" t="s">
        <v>2420</v>
      </c>
      <c r="C948" s="2487"/>
      <c r="D948" s="2487"/>
      <c r="E948" s="2482"/>
      <c r="F948" s="2482"/>
      <c r="G948" s="2482"/>
      <c r="H948" s="2482"/>
      <c r="I948" s="2482"/>
      <c r="J948" s="2482"/>
      <c r="K948" s="2482"/>
      <c r="L948" s="2482"/>
      <c r="M948" s="2482"/>
      <c r="N948" s="2482"/>
      <c r="O948" s="2772" t="s">
        <v>1726</v>
      </c>
      <c r="P948" s="2487"/>
      <c r="Q948" s="2487"/>
    </row>
    <row r="949" spans="1:17" ht="15">
      <c r="A949" s="2482"/>
      <c r="B949" s="2774" t="s">
        <v>3157</v>
      </c>
      <c r="C949" s="2482"/>
      <c r="D949" s="2774"/>
      <c r="E949" s="2774"/>
      <c r="F949" s="2774"/>
      <c r="G949" s="2774"/>
      <c r="H949" s="2483"/>
      <c r="I949" s="2484"/>
      <c r="J949" s="2484"/>
      <c r="K949" s="2484"/>
      <c r="L949" s="2485"/>
      <c r="M949" s="2485"/>
      <c r="N949" s="2485"/>
      <c r="O949" s="2485"/>
      <c r="P949" s="2485"/>
      <c r="Q949" s="2485"/>
    </row>
    <row r="950" spans="1:17" ht="14.25">
      <c r="A950" s="2482">
        <f>'Part VII-Threshold Criteria'!A107</f>
        <v>0</v>
      </c>
      <c r="B950" s="2482"/>
      <c r="C950" s="2482"/>
      <c r="D950" s="2482"/>
      <c r="E950" s="2482"/>
      <c r="F950" s="2482"/>
      <c r="G950" s="2482"/>
      <c r="H950" s="2482"/>
      <c r="I950" s="2482"/>
      <c r="J950" s="2482"/>
      <c r="K950" s="2482"/>
      <c r="L950" s="2482"/>
      <c r="M950" s="2482"/>
      <c r="N950" s="2482"/>
      <c r="O950" s="2482"/>
      <c r="P950" s="2482"/>
      <c r="Q950" s="2482"/>
    </row>
    <row r="951" spans="1:17" ht="14.25">
      <c r="A951" s="2482"/>
      <c r="B951" s="2773" t="s">
        <v>1725</v>
      </c>
      <c r="C951" s="2773"/>
      <c r="D951" s="2483"/>
      <c r="E951" s="2483"/>
      <c r="F951" s="2483"/>
      <c r="G951" s="2483"/>
      <c r="H951" s="2483"/>
      <c r="I951" s="2483"/>
      <c r="J951" s="2483"/>
      <c r="K951" s="2483"/>
      <c r="L951" s="2483"/>
      <c r="M951" s="2483"/>
      <c r="N951" s="2483"/>
      <c r="O951" s="2483"/>
      <c r="P951" s="2483"/>
      <c r="Q951" s="2483"/>
    </row>
    <row r="952" spans="1:17" ht="14.25">
      <c r="A952" s="2482"/>
      <c r="B952" s="2482"/>
      <c r="C952" s="2482"/>
      <c r="D952" s="2482"/>
      <c r="E952" s="2482"/>
      <c r="F952" s="2482"/>
      <c r="G952" s="2482"/>
      <c r="H952" s="2482"/>
      <c r="I952" s="2482"/>
      <c r="J952" s="2482"/>
      <c r="K952" s="2482"/>
      <c r="L952" s="2482"/>
      <c r="M952" s="2482"/>
      <c r="N952" s="2482"/>
      <c r="O952" s="2482"/>
      <c r="P952" s="2482"/>
      <c r="Q952" s="2482"/>
    </row>
    <row r="953" spans="1:17" ht="15">
      <c r="A953" s="2485"/>
      <c r="B953" s="2484"/>
      <c r="C953" s="2483"/>
      <c r="D953" s="2483"/>
      <c r="E953" s="2483"/>
      <c r="F953" s="2483"/>
      <c r="G953" s="2483"/>
      <c r="H953" s="2483"/>
      <c r="I953" s="2483"/>
      <c r="J953" s="2483"/>
      <c r="K953" s="2483"/>
      <c r="L953" s="2483"/>
      <c r="M953" s="2483"/>
      <c r="N953" s="2483"/>
      <c r="O953" s="2483"/>
      <c r="P953" s="2483"/>
      <c r="Q953" s="2485"/>
    </row>
    <row r="954" spans="1:17" ht="15">
      <c r="A954" s="2482"/>
      <c r="B954" s="2484"/>
      <c r="C954" s="2483"/>
      <c r="D954" s="2483"/>
      <c r="E954" s="2483"/>
      <c r="F954" s="2483"/>
      <c r="G954" s="2483"/>
      <c r="H954" s="2483"/>
      <c r="I954" s="2483"/>
      <c r="J954" s="2483"/>
      <c r="K954" s="2483"/>
      <c r="L954" s="2483"/>
      <c r="M954" s="2483"/>
      <c r="N954" s="2483"/>
      <c r="O954" s="2483"/>
      <c r="P954" s="2483"/>
      <c r="Q954" s="2485"/>
    </row>
    <row r="955" spans="1:17" ht="15">
      <c r="A955" s="2771" t="s">
        <v>342</v>
      </c>
      <c r="B955" s="2771" t="s">
        <v>2421</v>
      </c>
      <c r="C955" s="2771"/>
      <c r="D955" s="2483"/>
      <c r="E955" s="2483"/>
      <c r="F955" s="2482"/>
      <c r="G955" s="2483"/>
      <c r="H955" s="2482"/>
      <c r="I955" s="2482"/>
      <c r="J955" s="2482"/>
      <c r="K955" s="2482"/>
      <c r="L955" s="2482"/>
      <c r="M955" s="2482"/>
      <c r="N955" s="2482"/>
      <c r="O955" s="2772" t="s">
        <v>1726</v>
      </c>
      <c r="P955" s="2487"/>
      <c r="Q955" s="2487"/>
    </row>
    <row r="956" spans="1:17" ht="15">
      <c r="A956" s="2772"/>
      <c r="B956" s="2482" t="s">
        <v>4669</v>
      </c>
      <c r="C956" s="2482"/>
      <c r="D956" s="2482"/>
      <c r="E956" s="2482"/>
      <c r="F956" s="2482"/>
      <c r="G956" s="2482"/>
      <c r="H956" s="2482" t="s">
        <v>4670</v>
      </c>
      <c r="I956" s="2482"/>
      <c r="J956" s="2487" t="str">
        <f>'Part VII-Threshold Criteria'!J113</f>
        <v>&lt;&lt;Enter Provider Name Here&gt;&gt;</v>
      </c>
      <c r="K956" s="2487"/>
      <c r="L956" s="2487"/>
      <c r="M956" s="2487"/>
      <c r="N956" s="2487"/>
      <c r="O956" s="2487"/>
      <c r="P956" s="2487"/>
      <c r="Q956" s="2487"/>
    </row>
    <row r="957" spans="1:17" ht="15">
      <c r="A957" s="2772"/>
      <c r="B957" s="2772"/>
      <c r="C957" s="2482"/>
      <c r="D957" s="2482"/>
      <c r="E957" s="2482"/>
      <c r="F957" s="2482"/>
      <c r="G957" s="2482"/>
      <c r="H957" s="2482" t="s">
        <v>4671</v>
      </c>
      <c r="I957" s="2482"/>
      <c r="J957" s="2487" t="str">
        <f>'Part VII-Threshold Criteria'!J114</f>
        <v>&lt;&lt;Enter Provider Name Here&gt;&gt;</v>
      </c>
      <c r="K957" s="2487"/>
      <c r="L957" s="2487"/>
      <c r="M957" s="2487"/>
      <c r="N957" s="2487"/>
      <c r="O957" s="2487"/>
      <c r="P957" s="2487"/>
      <c r="Q957" s="2487"/>
    </row>
    <row r="958" spans="1:17" ht="15">
      <c r="A958" s="2772"/>
      <c r="B958" s="2774" t="s">
        <v>3157</v>
      </c>
      <c r="C958" s="2482"/>
      <c r="D958" s="2482"/>
      <c r="E958" s="2482"/>
      <c r="F958" s="2482"/>
      <c r="G958" s="2482"/>
      <c r="H958" s="2482"/>
      <c r="I958" s="2482"/>
      <c r="J958" s="2482"/>
      <c r="K958" s="2482"/>
      <c r="L958" s="2482"/>
      <c r="M958" s="2482"/>
      <c r="N958" s="2482"/>
      <c r="O958" s="2482"/>
      <c r="P958" s="2482"/>
      <c r="Q958" s="2482"/>
    </row>
    <row r="959" spans="1:17" ht="14.25">
      <c r="A959" s="2482">
        <f>'Part VII-Threshold Criteria'!A116</f>
        <v>0</v>
      </c>
      <c r="B959" s="2482"/>
      <c r="C959" s="2482"/>
      <c r="D959" s="2482"/>
      <c r="E959" s="2482"/>
      <c r="F959" s="2482"/>
      <c r="G959" s="2482"/>
      <c r="H959" s="2482"/>
      <c r="I959" s="2482"/>
      <c r="J959" s="2482"/>
      <c r="K959" s="2482"/>
      <c r="L959" s="2482"/>
      <c r="M959" s="2482"/>
      <c r="N959" s="2482"/>
      <c r="O959" s="2482"/>
      <c r="P959" s="2482"/>
      <c r="Q959" s="2482"/>
    </row>
    <row r="960" spans="1:17" ht="14.25">
      <c r="A960" s="2482"/>
      <c r="B960" s="2773" t="s">
        <v>1725</v>
      </c>
      <c r="C960" s="2773"/>
      <c r="D960" s="2483"/>
      <c r="E960" s="2483"/>
      <c r="F960" s="2483"/>
      <c r="G960" s="2483"/>
      <c r="H960" s="2483"/>
      <c r="I960" s="2483"/>
      <c r="J960" s="2483"/>
      <c r="K960" s="2483"/>
      <c r="L960" s="2483"/>
      <c r="M960" s="2483"/>
      <c r="N960" s="2483"/>
      <c r="O960" s="2483"/>
      <c r="P960" s="2483"/>
      <c r="Q960" s="2483"/>
    </row>
    <row r="961" spans="1:17" ht="14.25">
      <c r="A961" s="2482"/>
      <c r="B961" s="2482"/>
      <c r="C961" s="2482"/>
      <c r="D961" s="2482"/>
      <c r="E961" s="2482"/>
      <c r="F961" s="2482"/>
      <c r="G961" s="2482"/>
      <c r="H961" s="2482"/>
      <c r="I961" s="2482"/>
      <c r="J961" s="2482"/>
      <c r="K961" s="2482"/>
      <c r="L961" s="2482"/>
      <c r="M961" s="2482"/>
      <c r="N961" s="2482"/>
      <c r="O961" s="2482"/>
      <c r="P961" s="2482"/>
      <c r="Q961" s="2482"/>
    </row>
    <row r="962" spans="1:17" ht="15">
      <c r="A962" s="2482"/>
      <c r="B962" s="2484"/>
      <c r="C962" s="2483"/>
      <c r="D962" s="2483"/>
      <c r="E962" s="2483"/>
      <c r="F962" s="2483"/>
      <c r="G962" s="2483"/>
      <c r="H962" s="2483"/>
      <c r="I962" s="2483"/>
      <c r="J962" s="2483"/>
      <c r="K962" s="2483"/>
      <c r="L962" s="2483"/>
      <c r="M962" s="2483"/>
      <c r="N962" s="2482"/>
      <c r="O962" s="2482"/>
      <c r="P962" s="2482"/>
      <c r="Q962" s="2485"/>
    </row>
    <row r="963" spans="1:17" ht="15">
      <c r="A963" s="2482"/>
      <c r="B963" s="2484"/>
      <c r="C963" s="2483"/>
      <c r="D963" s="2483"/>
      <c r="E963" s="2483"/>
      <c r="F963" s="2483"/>
      <c r="G963" s="2483"/>
      <c r="H963" s="2483"/>
      <c r="I963" s="2483"/>
      <c r="J963" s="2483"/>
      <c r="K963" s="2483"/>
      <c r="L963" s="2483"/>
      <c r="M963" s="2483"/>
      <c r="N963" s="2482"/>
      <c r="O963" s="2482"/>
      <c r="P963" s="2482"/>
      <c r="Q963" s="2485"/>
    </row>
    <row r="964" spans="1:17" ht="15">
      <c r="A964" s="2771" t="s">
        <v>343</v>
      </c>
      <c r="B964" s="2487" t="s">
        <v>4672</v>
      </c>
      <c r="C964" s="2487"/>
      <c r="D964" s="2487"/>
      <c r="E964" s="2487"/>
      <c r="F964" s="2487"/>
      <c r="G964" s="2483"/>
      <c r="H964" s="2483"/>
      <c r="I964" s="2482"/>
      <c r="J964" s="2483"/>
      <c r="K964" s="2483"/>
      <c r="L964" s="2483"/>
      <c r="M964" s="2483"/>
      <c r="N964" s="2482"/>
      <c r="O964" s="2772" t="s">
        <v>1726</v>
      </c>
      <c r="P964" s="2487"/>
      <c r="Q964" s="2487"/>
    </row>
    <row r="965" spans="1:17" ht="15">
      <c r="A965" s="2772"/>
      <c r="B965" s="2482" t="s">
        <v>4673</v>
      </c>
      <c r="C965" s="2482"/>
      <c r="D965" s="2482"/>
      <c r="E965" s="2482"/>
      <c r="F965" s="2482"/>
      <c r="G965" s="2482"/>
      <c r="H965" s="2482" t="s">
        <v>4674</v>
      </c>
      <c r="I965" s="2482"/>
      <c r="J965" s="2487" t="str">
        <f>'Part VII-Threshold Criteria'!J122</f>
        <v>&lt;&lt;Enter Provider Name Here&gt;&gt;</v>
      </c>
      <c r="K965" s="2487"/>
      <c r="L965" s="2487"/>
      <c r="M965" s="2487"/>
      <c r="N965" s="2487"/>
      <c r="O965" s="2487"/>
      <c r="P965" s="2487"/>
      <c r="Q965" s="2487"/>
    </row>
    <row r="966" spans="1:17" ht="15">
      <c r="A966" s="2482"/>
      <c r="B966" s="2772"/>
      <c r="C966" s="2482"/>
      <c r="D966" s="2482"/>
      <c r="E966" s="2482"/>
      <c r="F966" s="2482"/>
      <c r="G966" s="2482"/>
      <c r="H966" s="2482" t="s">
        <v>4675</v>
      </c>
      <c r="I966" s="2482"/>
      <c r="J966" s="2487" t="str">
        <f>'Part VII-Threshold Criteria'!J123</f>
        <v>&lt;&lt;Enter Provider Name Here&gt;&gt;</v>
      </c>
      <c r="K966" s="2487"/>
      <c r="L966" s="2487"/>
      <c r="M966" s="2487"/>
      <c r="N966" s="2487"/>
      <c r="O966" s="2487"/>
      <c r="P966" s="2487"/>
      <c r="Q966" s="2487"/>
    </row>
    <row r="967" spans="1:17" ht="15">
      <c r="A967" s="2482"/>
      <c r="B967" s="2774" t="s">
        <v>3157</v>
      </c>
      <c r="C967" s="2482"/>
      <c r="D967" s="2774"/>
      <c r="E967" s="2774"/>
      <c r="F967" s="2774"/>
      <c r="G967" s="2774"/>
      <c r="H967" s="2483"/>
      <c r="I967" s="2484"/>
      <c r="J967" s="2484"/>
      <c r="K967" s="2484"/>
      <c r="L967" s="2485"/>
      <c r="M967" s="2485"/>
      <c r="N967" s="2485"/>
      <c r="O967" s="2485"/>
      <c r="P967" s="2485"/>
      <c r="Q967" s="2485"/>
    </row>
    <row r="968" spans="1:17" ht="14.25">
      <c r="A968" s="2482">
        <f>'Part VII-Threshold Criteria'!A125</f>
        <v>0</v>
      </c>
      <c r="B968" s="2482"/>
      <c r="C968" s="2482"/>
      <c r="D968" s="2482"/>
      <c r="E968" s="2482"/>
      <c r="F968" s="2482"/>
      <c r="G968" s="2482"/>
      <c r="H968" s="2482"/>
      <c r="I968" s="2482"/>
      <c r="J968" s="2482"/>
      <c r="K968" s="2482"/>
      <c r="L968" s="2482"/>
      <c r="M968" s="2482"/>
      <c r="N968" s="2482"/>
      <c r="O968" s="2482"/>
      <c r="P968" s="2482"/>
      <c r="Q968" s="2482"/>
    </row>
    <row r="969" spans="1:17" ht="14.25">
      <c r="A969" s="2482"/>
      <c r="B969" s="2773" t="s">
        <v>1725</v>
      </c>
      <c r="C969" s="2773"/>
      <c r="D969" s="2483"/>
      <c r="E969" s="2483"/>
      <c r="F969" s="2483"/>
      <c r="G969" s="2483"/>
      <c r="H969" s="2483"/>
      <c r="I969" s="2483"/>
      <c r="J969" s="2483"/>
      <c r="K969" s="2483"/>
      <c r="L969" s="2483"/>
      <c r="M969" s="2483"/>
      <c r="N969" s="2483"/>
      <c r="O969" s="2483"/>
      <c r="P969" s="2483"/>
      <c r="Q969" s="2483"/>
    </row>
    <row r="970" spans="1:17" ht="14.25">
      <c r="A970" s="2482"/>
      <c r="B970" s="2482"/>
      <c r="C970" s="2482"/>
      <c r="D970" s="2482"/>
      <c r="E970" s="2482"/>
      <c r="F970" s="2482"/>
      <c r="G970" s="2482"/>
      <c r="H970" s="2482"/>
      <c r="I970" s="2482"/>
      <c r="J970" s="2482"/>
      <c r="K970" s="2482"/>
      <c r="L970" s="2482"/>
      <c r="M970" s="2482"/>
      <c r="N970" s="2482"/>
      <c r="O970" s="2482"/>
      <c r="P970" s="2482"/>
      <c r="Q970" s="2482"/>
    </row>
    <row r="971" spans="1:17" ht="15">
      <c r="A971" s="2485"/>
      <c r="B971" s="2484"/>
      <c r="C971" s="2483"/>
      <c r="D971" s="2483"/>
      <c r="E971" s="2483"/>
      <c r="F971" s="2483"/>
      <c r="G971" s="2483"/>
      <c r="H971" s="2483"/>
      <c r="I971" s="2483"/>
      <c r="J971" s="2483"/>
      <c r="K971" s="2483"/>
      <c r="L971" s="2483"/>
      <c r="M971" s="2483"/>
      <c r="N971" s="2482"/>
      <c r="O971" s="2482"/>
      <c r="P971" s="2482"/>
      <c r="Q971" s="2485"/>
    </row>
    <row r="972" spans="1:17" ht="15">
      <c r="A972" s="2482"/>
      <c r="B972" s="2484"/>
      <c r="C972" s="2483"/>
      <c r="D972" s="2483"/>
      <c r="E972" s="2483"/>
      <c r="F972" s="2483"/>
      <c r="G972" s="2483"/>
      <c r="H972" s="2483"/>
      <c r="I972" s="2483"/>
      <c r="J972" s="2483"/>
      <c r="K972" s="2483"/>
      <c r="L972" s="2483"/>
      <c r="M972" s="2483"/>
      <c r="N972" s="2482"/>
      <c r="O972" s="2482"/>
      <c r="P972" s="2482"/>
      <c r="Q972" s="2485"/>
    </row>
    <row r="973" spans="1:17" ht="15">
      <c r="A973" s="2771" t="s">
        <v>344</v>
      </c>
      <c r="B973" s="2771" t="s">
        <v>2423</v>
      </c>
      <c r="C973" s="2771"/>
      <c r="D973" s="2483"/>
      <c r="E973" s="2483"/>
      <c r="F973" s="2483"/>
      <c r="G973" s="2483"/>
      <c r="H973" s="2483"/>
      <c r="I973" s="2483"/>
      <c r="J973" s="2483"/>
      <c r="K973" s="2483"/>
      <c r="L973" s="2483"/>
      <c r="M973" s="2483"/>
      <c r="N973" s="2482"/>
      <c r="O973" s="2772" t="s">
        <v>1726</v>
      </c>
      <c r="P973" s="2487"/>
      <c r="Q973" s="2487"/>
    </row>
    <row r="974" spans="1:17" ht="14.1" customHeight="1">
      <c r="A974" s="2482"/>
      <c r="B974" s="2482" t="s">
        <v>5001</v>
      </c>
      <c r="C974" s="2482"/>
      <c r="D974" s="2482"/>
      <c r="E974" s="2482"/>
      <c r="F974" s="2482"/>
      <c r="G974" s="2482"/>
      <c r="H974" s="2482"/>
      <c r="I974" s="2482"/>
      <c r="J974" s="2482"/>
      <c r="K974" s="2482"/>
      <c r="L974" s="2482"/>
      <c r="M974" s="2482"/>
      <c r="N974" s="2482"/>
      <c r="O974" s="2482"/>
      <c r="P974" s="2487">
        <f>'Part VII-Threshold Criteria'!P131</f>
        <v>0</v>
      </c>
      <c r="Q974" s="2487"/>
    </row>
    <row r="975" spans="1:17" ht="15">
      <c r="A975" s="2772" t="s">
        <v>1836</v>
      </c>
      <c r="B975" s="2482" t="s">
        <v>5102</v>
      </c>
      <c r="C975" s="2482"/>
      <c r="D975" s="2482"/>
      <c r="E975" s="2482"/>
      <c r="F975" s="2482"/>
      <c r="G975" s="2482"/>
      <c r="H975" s="2482"/>
      <c r="I975" s="2482"/>
      <c r="J975" s="2482"/>
      <c r="K975" s="2482"/>
      <c r="L975" s="2482"/>
      <c r="M975" s="2482"/>
      <c r="N975" s="2482"/>
      <c r="O975" s="2777"/>
      <c r="P975" s="2482"/>
      <c r="Q975" s="2482"/>
    </row>
    <row r="976" spans="1:17" ht="15">
      <c r="A976" s="2772"/>
      <c r="B976" s="2483"/>
      <c r="C976" s="2482" t="s">
        <v>1787</v>
      </c>
      <c r="D976" s="2482"/>
      <c r="E976" s="2482"/>
      <c r="F976" s="2482"/>
      <c r="G976" s="2482"/>
      <c r="H976" s="2482"/>
      <c r="I976" s="2482"/>
      <c r="J976" s="2777"/>
      <c r="K976" s="2482"/>
      <c r="L976" s="2482"/>
      <c r="M976" s="2487" t="str">
        <f>'Part VII-Threshold Criteria'!M133</f>
        <v>&lt;&lt;Select&gt;&gt;</v>
      </c>
      <c r="N976" s="2487"/>
      <c r="O976" s="2487"/>
      <c r="P976" s="2487"/>
      <c r="Q976" s="2487"/>
    </row>
    <row r="977" spans="1:17" ht="15">
      <c r="A977" s="2772"/>
      <c r="B977" s="2483"/>
      <c r="C977" s="2483" t="s">
        <v>4612</v>
      </c>
      <c r="D977" s="2482"/>
      <c r="E977" s="2483"/>
      <c r="F977" s="2483"/>
      <c r="G977" s="2483"/>
      <c r="H977" s="2483"/>
      <c r="I977" s="2482"/>
      <c r="J977" s="2777"/>
      <c r="K977" s="2482"/>
      <c r="L977" s="2482"/>
      <c r="M977" s="2487" t="str">
        <f>'Part VII-Threshold Criteria'!M134</f>
        <v>&lt;&lt;Select&gt;&gt;</v>
      </c>
      <c r="N977" s="2487"/>
      <c r="O977" s="2487"/>
      <c r="P977" s="2487"/>
      <c r="Q977" s="2487"/>
    </row>
    <row r="978" spans="1:17" ht="14.1" customHeight="1">
      <c r="A978" s="2772"/>
      <c r="B978" s="2483"/>
      <c r="C978" s="2482" t="str">
        <f>'Part VII-Threshold Criteria'!C135</f>
        <v>If "Other Pre-Approved", explain here</v>
      </c>
      <c r="D978" s="2482"/>
      <c r="E978" s="2482"/>
      <c r="F978" s="2482"/>
      <c r="G978" s="2482"/>
      <c r="H978" s="2482"/>
      <c r="I978" s="2482"/>
      <c r="J978" s="2482"/>
      <c r="K978" s="2482"/>
      <c r="L978" s="2482"/>
      <c r="M978" s="2482"/>
      <c r="N978" s="2482"/>
      <c r="O978" s="2482"/>
      <c r="P978" s="2482"/>
      <c r="Q978" s="2482"/>
    </row>
    <row r="979" spans="1:17" ht="15">
      <c r="A979" s="2772"/>
      <c r="B979" s="2483"/>
      <c r="C979" s="2483" t="s">
        <v>3663</v>
      </c>
      <c r="D979" s="2482"/>
      <c r="E979" s="2483"/>
      <c r="F979" s="2483"/>
      <c r="G979" s="2483"/>
      <c r="H979" s="2483"/>
      <c r="I979" s="2482"/>
      <c r="J979" s="2777"/>
      <c r="K979" s="2482"/>
      <c r="L979" s="2482"/>
      <c r="M979" s="2487" t="str">
        <f>'Part VII-Threshold Criteria'!M136</f>
        <v>&lt;&lt;Select&gt;&gt;</v>
      </c>
      <c r="N979" s="2487"/>
      <c r="O979" s="2487"/>
      <c r="P979" s="2487"/>
      <c r="Q979" s="2487"/>
    </row>
    <row r="980" spans="1:17" ht="14.1" customHeight="1">
      <c r="A980" s="2772" t="s">
        <v>1838</v>
      </c>
      <c r="B980" s="2482" t="s">
        <v>5103</v>
      </c>
      <c r="C980" s="2482"/>
      <c r="D980" s="2482"/>
      <c r="E980" s="2482"/>
      <c r="F980" s="2482"/>
      <c r="G980" s="2482"/>
      <c r="H980" s="2482"/>
      <c r="I980" s="2482"/>
      <c r="J980" s="2482"/>
      <c r="K980" s="2482"/>
      <c r="L980" s="2482"/>
      <c r="M980" s="2482"/>
      <c r="N980" s="2482"/>
      <c r="O980" s="2777"/>
      <c r="P980" s="2485"/>
      <c r="Q980" s="2485"/>
    </row>
    <row r="981" spans="1:17" ht="14.1" customHeight="1">
      <c r="A981" s="2512"/>
      <c r="B981" s="2483"/>
      <c r="C981" s="2482" t="s">
        <v>5104</v>
      </c>
      <c r="D981" s="2482"/>
      <c r="E981" s="2482"/>
      <c r="F981" s="2482"/>
      <c r="G981" s="2482"/>
      <c r="H981" s="2482"/>
      <c r="I981" s="2482"/>
      <c r="J981" s="2482"/>
      <c r="K981" s="2482"/>
      <c r="L981" s="2482"/>
      <c r="M981" s="2482"/>
      <c r="N981" s="2482"/>
      <c r="O981" s="2482"/>
      <c r="P981" s="2482"/>
      <c r="Q981" s="2482"/>
    </row>
    <row r="982" spans="1:17" ht="14.1" customHeight="1">
      <c r="A982" s="2485"/>
      <c r="B982" s="2783" t="s">
        <v>1611</v>
      </c>
      <c r="C982" s="2770" t="str">
        <f>'Part VII-Threshold Criteria'!C139</f>
        <v>(Select an amenity from options provided here)</v>
      </c>
      <c r="D982" s="2770"/>
      <c r="E982" s="2770"/>
      <c r="F982" s="2770"/>
      <c r="G982" s="2770"/>
      <c r="H982" s="2770"/>
      <c r="I982" s="2482"/>
      <c r="J982" s="2770" t="str">
        <f>'Part VII-Threshold Criteria'!J139</f>
        <v>(If DCA Pre-Approved amenity not listed in Architectural Manual, describe)</v>
      </c>
      <c r="K982" s="2770"/>
      <c r="L982" s="2770"/>
      <c r="M982" s="2770"/>
      <c r="N982" s="2770"/>
      <c r="O982" s="2770"/>
      <c r="P982" s="2770"/>
      <c r="Q982" s="2770"/>
    </row>
    <row r="983" spans="1:17" ht="14.1" customHeight="1">
      <c r="A983" s="2485"/>
      <c r="B983" s="2783" t="s">
        <v>1612</v>
      </c>
      <c r="C983" s="2770" t="str">
        <f>'Part VII-Threshold Criteria'!C140</f>
        <v>(Select an amenity from options provided here)</v>
      </c>
      <c r="D983" s="2770"/>
      <c r="E983" s="2770"/>
      <c r="F983" s="2770"/>
      <c r="G983" s="2770"/>
      <c r="H983" s="2770"/>
      <c r="I983" s="2482"/>
      <c r="J983" s="2770" t="str">
        <f>'Part VII-Threshold Criteria'!J140</f>
        <v>(If DCA Pre-Approved amenity not listed in Architectural Manual, describe)</v>
      </c>
      <c r="K983" s="2770"/>
      <c r="L983" s="2770"/>
      <c r="M983" s="2770"/>
      <c r="N983" s="2770"/>
      <c r="O983" s="2770"/>
      <c r="P983" s="2770"/>
      <c r="Q983" s="2770"/>
    </row>
    <row r="984" spans="1:17" ht="14.1" customHeight="1">
      <c r="A984" s="2485"/>
      <c r="B984" s="2783" t="s">
        <v>1613</v>
      </c>
      <c r="C984" s="2770" t="str">
        <f>'Part VII-Threshold Criteria'!C141</f>
        <v>(Select an amenity from options provided here)</v>
      </c>
      <c r="D984" s="2770"/>
      <c r="E984" s="2770"/>
      <c r="F984" s="2770"/>
      <c r="G984" s="2770"/>
      <c r="H984" s="2770"/>
      <c r="I984" s="2482"/>
      <c r="J984" s="2770" t="str">
        <f>'Part VII-Threshold Criteria'!J141</f>
        <v>(If DCA Pre-Approved amenity not listed in Architectural Manual, describe)</v>
      </c>
      <c r="K984" s="2770"/>
      <c r="L984" s="2770"/>
      <c r="M984" s="2770"/>
      <c r="N984" s="2770"/>
      <c r="O984" s="2770"/>
      <c r="P984" s="2770"/>
      <c r="Q984" s="2770"/>
    </row>
    <row r="985" spans="1:17" ht="14.1" customHeight="1">
      <c r="A985" s="2485"/>
      <c r="B985" s="2783" t="s">
        <v>2176</v>
      </c>
      <c r="C985" s="2770" t="str">
        <f>'Part VII-Threshold Criteria'!C142</f>
        <v>(Select an amenity from options provided here)</v>
      </c>
      <c r="D985" s="2770"/>
      <c r="E985" s="2770"/>
      <c r="F985" s="2770"/>
      <c r="G985" s="2770"/>
      <c r="H985" s="2770"/>
      <c r="I985" s="2482"/>
      <c r="J985" s="2770" t="str">
        <f>'Part VII-Threshold Criteria'!J142</f>
        <v>(If DCA Pre-Approved amenity not listed in Architectural Manual, describe)</v>
      </c>
      <c r="K985" s="2770"/>
      <c r="L985" s="2770"/>
      <c r="M985" s="2770"/>
      <c r="N985" s="2770"/>
      <c r="O985" s="2770"/>
      <c r="P985" s="2770"/>
      <c r="Q985" s="2770"/>
    </row>
    <row r="986" spans="1:17" ht="15">
      <c r="A986" s="2482"/>
      <c r="B986" s="2774" t="s">
        <v>3157</v>
      </c>
      <c r="C986" s="2482"/>
      <c r="D986" s="2774"/>
      <c r="E986" s="2774"/>
      <c r="F986" s="2774"/>
      <c r="G986" s="2774"/>
      <c r="H986" s="2483"/>
      <c r="I986" s="2484"/>
      <c r="J986" s="2484"/>
      <c r="K986" s="2484"/>
      <c r="L986" s="2485"/>
      <c r="M986" s="2485"/>
      <c r="N986" s="2485"/>
      <c r="O986" s="2485"/>
      <c r="P986" s="2482"/>
      <c r="Q986" s="2482"/>
    </row>
    <row r="987" spans="1:17" ht="14.25">
      <c r="A987" s="2482">
        <f>'Part VII-Threshold Criteria'!A144</f>
        <v>0</v>
      </c>
      <c r="B987" s="2482"/>
      <c r="C987" s="2482"/>
      <c r="D987" s="2482"/>
      <c r="E987" s="2482"/>
      <c r="F987" s="2482"/>
      <c r="G987" s="2482"/>
      <c r="H987" s="2482"/>
      <c r="I987" s="2482"/>
      <c r="J987" s="2482"/>
      <c r="K987" s="2482"/>
      <c r="L987" s="2482"/>
      <c r="M987" s="2482"/>
      <c r="N987" s="2482"/>
      <c r="O987" s="2482"/>
      <c r="P987" s="2482"/>
      <c r="Q987" s="2482"/>
    </row>
    <row r="988" spans="1:17" ht="14.25">
      <c r="A988" s="2482"/>
      <c r="B988" s="2773" t="s">
        <v>1725</v>
      </c>
      <c r="C988" s="2773"/>
      <c r="D988" s="2483"/>
      <c r="E988" s="2483"/>
      <c r="F988" s="2483"/>
      <c r="G988" s="2483"/>
      <c r="H988" s="2483"/>
      <c r="I988" s="2483"/>
      <c r="J988" s="2483"/>
      <c r="K988" s="2483"/>
      <c r="L988" s="2483"/>
      <c r="M988" s="2483"/>
      <c r="N988" s="2483"/>
      <c r="O988" s="2483"/>
      <c r="P988" s="2483"/>
      <c r="Q988" s="2483"/>
    </row>
    <row r="989" spans="1:17" ht="14.25">
      <c r="A989" s="2482"/>
      <c r="B989" s="2482"/>
      <c r="C989" s="2482"/>
      <c r="D989" s="2482"/>
      <c r="E989" s="2482"/>
      <c r="F989" s="2482"/>
      <c r="G989" s="2482"/>
      <c r="H989" s="2482"/>
      <c r="I989" s="2482"/>
      <c r="J989" s="2482"/>
      <c r="K989" s="2482"/>
      <c r="L989" s="2482"/>
      <c r="M989" s="2482"/>
      <c r="N989" s="2482"/>
      <c r="O989" s="2482"/>
      <c r="P989" s="2482"/>
      <c r="Q989" s="2482"/>
    </row>
    <row r="990" spans="1:17" ht="15">
      <c r="A990" s="2485"/>
      <c r="B990" s="2484"/>
      <c r="C990" s="2483"/>
      <c r="D990" s="2483"/>
      <c r="E990" s="2483"/>
      <c r="F990" s="2483"/>
      <c r="G990" s="2483"/>
      <c r="H990" s="2483"/>
      <c r="I990" s="2483"/>
      <c r="J990" s="2483"/>
      <c r="K990" s="2483"/>
      <c r="L990" s="2483"/>
      <c r="M990" s="2483"/>
      <c r="N990" s="2482"/>
      <c r="O990" s="2482"/>
      <c r="P990" s="2482"/>
      <c r="Q990" s="2485"/>
    </row>
    <row r="991" spans="1:17" ht="15">
      <c r="A991" s="2482"/>
      <c r="B991" s="2484"/>
      <c r="C991" s="2483"/>
      <c r="D991" s="2483"/>
      <c r="E991" s="2483"/>
      <c r="F991" s="2483"/>
      <c r="G991" s="2483"/>
      <c r="H991" s="2483"/>
      <c r="I991" s="2483"/>
      <c r="J991" s="2483"/>
      <c r="K991" s="2483"/>
      <c r="L991" s="2483"/>
      <c r="M991" s="2483"/>
      <c r="N991" s="2482"/>
      <c r="O991" s="2482"/>
      <c r="P991" s="2482"/>
      <c r="Q991" s="2485"/>
    </row>
    <row r="992" spans="1:17" ht="15">
      <c r="A992" s="2771" t="s">
        <v>1602</v>
      </c>
      <c r="B992" s="2487" t="s">
        <v>3827</v>
      </c>
      <c r="C992" s="2487"/>
      <c r="D992" s="2487"/>
      <c r="E992" s="2487"/>
      <c r="F992" s="2487"/>
      <c r="G992" s="2487"/>
      <c r="H992" s="2483"/>
      <c r="I992" s="2483"/>
      <c r="J992" s="2483"/>
      <c r="K992" s="2483"/>
      <c r="L992" s="2776"/>
      <c r="M992" s="2790"/>
      <c r="N992" s="2482"/>
      <c r="O992" s="2772" t="s">
        <v>1726</v>
      </c>
      <c r="P992" s="2487"/>
      <c r="Q992" s="2487"/>
    </row>
    <row r="993" spans="1:17" ht="15">
      <c r="A993" s="2482"/>
      <c r="B993" s="2482" t="s">
        <v>4680</v>
      </c>
      <c r="C993" s="2482"/>
      <c r="D993" s="2482"/>
      <c r="E993" s="2482"/>
      <c r="F993" s="2482"/>
      <c r="G993" s="2482"/>
      <c r="H993" s="2482"/>
      <c r="I993" s="2482"/>
      <c r="J993" s="2482"/>
      <c r="K993" s="2482"/>
      <c r="L993" s="2482"/>
      <c r="M993" s="2482"/>
      <c r="N993" s="2484"/>
      <c r="O993" s="2482"/>
      <c r="P993" s="2487">
        <f>'Part VII-Threshold Criteria'!P150</f>
        <v>0</v>
      </c>
      <c r="Q993" s="2487"/>
    </row>
    <row r="994" spans="1:17" ht="14.1" customHeight="1">
      <c r="A994" s="2772"/>
      <c r="B994" s="2482" t="s">
        <v>1190</v>
      </c>
      <c r="C994" s="2482"/>
      <c r="D994" s="2482"/>
      <c r="E994" s="2482"/>
      <c r="F994" s="2482"/>
      <c r="G994" s="2482"/>
      <c r="H994" s="2482" t="str">
        <f>'Part VII-Threshold Criteria'!H151</f>
        <v>&lt;&lt;Select&gt;&gt;</v>
      </c>
      <c r="I994" s="2482"/>
      <c r="J994" s="2482"/>
      <c r="K994" s="2482"/>
      <c r="L994" s="2482"/>
      <c r="M994" s="2482"/>
      <c r="N994" s="2482"/>
      <c r="O994" s="2482"/>
      <c r="P994" s="2482"/>
      <c r="Q994" s="2482"/>
    </row>
    <row r="995" spans="1:17" ht="15">
      <c r="A995" s="2772"/>
      <c r="B995" s="2482" t="s">
        <v>1801</v>
      </c>
      <c r="C995" s="2482"/>
      <c r="D995" s="2482"/>
      <c r="E995" s="2482"/>
      <c r="F995" s="2482"/>
      <c r="G995" s="2482"/>
      <c r="H995" s="2482">
        <f>'Part VII-Threshold Criteria'!H152</f>
        <v>0</v>
      </c>
      <c r="I995" s="2482"/>
      <c r="J995" s="2482"/>
      <c r="K995" s="2482"/>
      <c r="L995" s="2482"/>
      <c r="M995" s="2482"/>
      <c r="N995" s="2482"/>
      <c r="O995" s="2482"/>
      <c r="P995" s="2482"/>
      <c r="Q995" s="2482"/>
    </row>
    <row r="996" spans="1:17" ht="15">
      <c r="A996" s="2482"/>
      <c r="B996" s="2774" t="s">
        <v>3157</v>
      </c>
      <c r="C996" s="2482"/>
      <c r="D996" s="2774"/>
      <c r="E996" s="2774"/>
      <c r="F996" s="2774"/>
      <c r="G996" s="2774"/>
      <c r="H996" s="2483"/>
      <c r="I996" s="2484"/>
      <c r="J996" s="2484"/>
      <c r="K996" s="2484"/>
      <c r="L996" s="2485"/>
      <c r="M996" s="2485"/>
      <c r="N996" s="2485"/>
      <c r="O996" s="2485"/>
      <c r="P996" s="2485"/>
      <c r="Q996" s="2485"/>
    </row>
    <row r="997" spans="1:17" ht="14.25">
      <c r="A997" s="2482">
        <f>'Part VII-Threshold Criteria'!A154</f>
        <v>0</v>
      </c>
      <c r="B997" s="2482"/>
      <c r="C997" s="2482"/>
      <c r="D997" s="2482"/>
      <c r="E997" s="2482"/>
      <c r="F997" s="2482"/>
      <c r="G997" s="2482"/>
      <c r="H997" s="2482"/>
      <c r="I997" s="2482"/>
      <c r="J997" s="2482"/>
      <c r="K997" s="2482"/>
      <c r="L997" s="2482"/>
      <c r="M997" s="2482"/>
      <c r="N997" s="2482"/>
      <c r="O997" s="2482"/>
      <c r="P997" s="2482"/>
      <c r="Q997" s="2482"/>
    </row>
    <row r="998" spans="1:17" ht="14.25">
      <c r="A998" s="2482"/>
      <c r="B998" s="2773" t="s">
        <v>1725</v>
      </c>
      <c r="C998" s="2773"/>
      <c r="D998" s="2483"/>
      <c r="E998" s="2483"/>
      <c r="F998" s="2483"/>
      <c r="G998" s="2483"/>
      <c r="H998" s="2483"/>
      <c r="I998" s="2483"/>
      <c r="J998" s="2483"/>
      <c r="K998" s="2483"/>
      <c r="L998" s="2483"/>
      <c r="M998" s="2483"/>
      <c r="N998" s="2483"/>
      <c r="O998" s="2483"/>
      <c r="P998" s="2483"/>
      <c r="Q998" s="2483"/>
    </row>
    <row r="999" spans="1:17" ht="14.25">
      <c r="A999" s="2482"/>
      <c r="B999" s="2482"/>
      <c r="C999" s="2482"/>
      <c r="D999" s="2482"/>
      <c r="E999" s="2482"/>
      <c r="F999" s="2482"/>
      <c r="G999" s="2482"/>
      <c r="H999" s="2482"/>
      <c r="I999" s="2482"/>
      <c r="J999" s="2482"/>
      <c r="K999" s="2482"/>
      <c r="L999" s="2482"/>
      <c r="M999" s="2482"/>
      <c r="N999" s="2482"/>
      <c r="O999" s="2482"/>
      <c r="P999" s="2482"/>
      <c r="Q999" s="2482"/>
    </row>
    <row r="1000" spans="1:17" ht="15">
      <c r="A1000" s="2485"/>
      <c r="B1000" s="2484"/>
      <c r="C1000" s="2483"/>
      <c r="D1000" s="2483"/>
      <c r="E1000" s="2483"/>
      <c r="F1000" s="2483"/>
      <c r="G1000" s="2483"/>
      <c r="H1000" s="2483"/>
      <c r="I1000" s="2483"/>
      <c r="J1000" s="2483"/>
      <c r="K1000" s="2483"/>
      <c r="L1000" s="2483"/>
      <c r="M1000" s="2483"/>
      <c r="N1000" s="2482"/>
      <c r="O1000" s="2482"/>
      <c r="P1000" s="2482"/>
      <c r="Q1000" s="2485"/>
    </row>
    <row r="1001" spans="1:17" ht="15">
      <c r="A1001" s="2482"/>
      <c r="B1001" s="2484"/>
      <c r="C1001" s="2483"/>
      <c r="D1001" s="2483"/>
      <c r="E1001" s="2483"/>
      <c r="F1001" s="2483"/>
      <c r="G1001" s="2483"/>
      <c r="H1001" s="2483"/>
      <c r="I1001" s="2483"/>
      <c r="J1001" s="2483"/>
      <c r="K1001" s="2483"/>
      <c r="L1001" s="2483"/>
      <c r="M1001" s="2483"/>
      <c r="N1001" s="2482"/>
      <c r="O1001" s="2482"/>
      <c r="P1001" s="2482"/>
      <c r="Q1001" s="2485"/>
    </row>
    <row r="1002" spans="1:17" ht="15">
      <c r="A1002" s="2771" t="s">
        <v>2488</v>
      </c>
      <c r="B1002" s="2487" t="s">
        <v>2424</v>
      </c>
      <c r="C1002" s="2487"/>
      <c r="D1002" s="2487"/>
      <c r="E1002" s="2487"/>
      <c r="F1002" s="2487"/>
      <c r="G1002" s="2487"/>
      <c r="H1002" s="2483"/>
      <c r="I1002" s="2483"/>
      <c r="J1002" s="2483"/>
      <c r="K1002" s="2483"/>
      <c r="L1002" s="2483"/>
      <c r="M1002" s="2483"/>
      <c r="N1002" s="2482"/>
      <c r="O1002" s="2772" t="s">
        <v>1726</v>
      </c>
      <c r="P1002" s="2487"/>
      <c r="Q1002" s="2487"/>
    </row>
    <row r="1003" spans="1:17" ht="15">
      <c r="A1003" s="2482"/>
      <c r="B1003" s="2774" t="s">
        <v>3157</v>
      </c>
      <c r="C1003" s="2482"/>
      <c r="D1003" s="2774"/>
      <c r="E1003" s="2774"/>
      <c r="F1003" s="2774"/>
      <c r="G1003" s="2774"/>
      <c r="H1003" s="2483"/>
      <c r="I1003" s="2484"/>
      <c r="J1003" s="2484"/>
      <c r="K1003" s="2484"/>
      <c r="L1003" s="2485"/>
      <c r="M1003" s="2485"/>
      <c r="N1003" s="2485"/>
      <c r="O1003" s="2485"/>
      <c r="P1003" s="2485"/>
      <c r="Q1003" s="2485"/>
    </row>
    <row r="1004" spans="1:17" ht="14.25">
      <c r="A1004" s="2482">
        <f>'Part VII-Threshold Criteria'!A161</f>
        <v>0</v>
      </c>
      <c r="B1004" s="2482"/>
      <c r="C1004" s="2482"/>
      <c r="D1004" s="2482"/>
      <c r="E1004" s="2482"/>
      <c r="F1004" s="2482"/>
      <c r="G1004" s="2482"/>
      <c r="H1004" s="2482"/>
      <c r="I1004" s="2482"/>
      <c r="J1004" s="2482"/>
      <c r="K1004" s="2482"/>
      <c r="L1004" s="2482"/>
      <c r="M1004" s="2482"/>
      <c r="N1004" s="2482"/>
      <c r="O1004" s="2482"/>
      <c r="P1004" s="2482"/>
      <c r="Q1004" s="2482"/>
    </row>
    <row r="1005" spans="1:17" ht="14.25">
      <c r="A1005" s="2482"/>
      <c r="B1005" s="2773" t="s">
        <v>1725</v>
      </c>
      <c r="C1005" s="2773"/>
      <c r="D1005" s="2483"/>
      <c r="E1005" s="2483"/>
      <c r="F1005" s="2483"/>
      <c r="G1005" s="2483"/>
      <c r="H1005" s="2483"/>
      <c r="I1005" s="2483"/>
      <c r="J1005" s="2483"/>
      <c r="K1005" s="2483"/>
      <c r="L1005" s="2483"/>
      <c r="M1005" s="2483"/>
      <c r="N1005" s="2483"/>
      <c r="O1005" s="2483"/>
      <c r="P1005" s="2483"/>
      <c r="Q1005" s="2483"/>
    </row>
    <row r="1006" spans="1:17" ht="14.25">
      <c r="A1006" s="2482"/>
      <c r="B1006" s="2482"/>
      <c r="C1006" s="2482"/>
      <c r="D1006" s="2482"/>
      <c r="E1006" s="2482"/>
      <c r="F1006" s="2482"/>
      <c r="G1006" s="2482"/>
      <c r="H1006" s="2482"/>
      <c r="I1006" s="2482"/>
      <c r="J1006" s="2482"/>
      <c r="K1006" s="2482"/>
      <c r="L1006" s="2482"/>
      <c r="M1006" s="2482"/>
      <c r="N1006" s="2482"/>
      <c r="O1006" s="2482"/>
      <c r="P1006" s="2482"/>
      <c r="Q1006" s="2482"/>
    </row>
    <row r="1007" spans="1:17" ht="14.25">
      <c r="A1007" s="2482"/>
      <c r="B1007" s="2482"/>
      <c r="C1007" s="2482"/>
      <c r="D1007" s="2482"/>
      <c r="E1007" s="2482"/>
      <c r="F1007" s="2482"/>
      <c r="G1007" s="2482"/>
      <c r="H1007" s="2482"/>
      <c r="I1007" s="2482"/>
      <c r="J1007" s="2482"/>
      <c r="K1007" s="2482"/>
      <c r="L1007" s="2482"/>
      <c r="M1007" s="2482"/>
      <c r="N1007" s="2482"/>
      <c r="O1007" s="2482"/>
      <c r="P1007" s="2482"/>
      <c r="Q1007" s="2482"/>
    </row>
    <row r="1008" spans="1:17" ht="14.25">
      <c r="A1008" s="2482"/>
      <c r="B1008" s="2482"/>
      <c r="C1008" s="2482"/>
      <c r="D1008" s="2482"/>
      <c r="E1008" s="2482"/>
      <c r="F1008" s="2482"/>
      <c r="G1008" s="2482"/>
      <c r="H1008" s="2482"/>
      <c r="I1008" s="2482"/>
      <c r="J1008" s="2482"/>
      <c r="K1008" s="2482"/>
      <c r="L1008" s="2482"/>
      <c r="M1008" s="2482"/>
      <c r="N1008" s="2482"/>
      <c r="O1008" s="2482"/>
      <c r="P1008" s="2482"/>
      <c r="Q1008" s="2482"/>
    </row>
    <row r="1009" spans="1:28" ht="15">
      <c r="A1009" s="2771" t="s">
        <v>2075</v>
      </c>
      <c r="B1009" s="2771" t="s">
        <v>2425</v>
      </c>
      <c r="C1009" s="2771"/>
      <c r="D1009" s="2483"/>
      <c r="E1009" s="2483"/>
      <c r="F1009" s="2483"/>
      <c r="G1009" s="2483"/>
      <c r="H1009" s="2483"/>
      <c r="I1009" s="2483"/>
      <c r="J1009" s="2483"/>
      <c r="K1009" s="2483"/>
      <c r="L1009" s="2483"/>
      <c r="M1009" s="2483"/>
      <c r="N1009" s="2482"/>
      <c r="O1009" s="2772" t="s">
        <v>1726</v>
      </c>
      <c r="P1009" s="2487"/>
      <c r="Q1009" s="2487"/>
    </row>
    <row r="1010" spans="1:28" ht="15">
      <c r="A1010" s="2772" t="s">
        <v>1836</v>
      </c>
      <c r="B1010" s="2487" t="s">
        <v>4096</v>
      </c>
      <c r="C1010" s="2482"/>
      <c r="D1010" s="2482"/>
      <c r="E1010" s="2482"/>
      <c r="F1010" s="2482"/>
      <c r="G1010" s="2482"/>
      <c r="H1010" s="2482"/>
      <c r="I1010" s="2482"/>
      <c r="J1010" s="2482"/>
      <c r="K1010" s="2482"/>
      <c r="L1010" s="2482"/>
      <c r="M1010" s="2482"/>
      <c r="N1010" s="2482"/>
      <c r="O1010" s="2777"/>
      <c r="P1010" s="2482"/>
      <c r="Q1010" s="2482"/>
    </row>
    <row r="1011" spans="1:28" ht="14.1" customHeight="1">
      <c r="A1011" s="2482"/>
      <c r="B1011" s="2770" t="s">
        <v>5002</v>
      </c>
      <c r="C1011" s="2770"/>
      <c r="D1011" s="2770"/>
      <c r="E1011" s="2770"/>
      <c r="F1011" s="2770"/>
      <c r="G1011" s="2770"/>
      <c r="H1011" s="2770"/>
      <c r="I1011" s="2770"/>
      <c r="J1011" s="2770"/>
      <c r="K1011" s="2770"/>
      <c r="L1011" s="2770"/>
      <c r="M1011" s="2770"/>
      <c r="N1011" s="2770"/>
      <c r="O1011" s="2770"/>
      <c r="P1011" s="2780">
        <f>'Part VII-Threshold Criteria'!P168</f>
        <v>0</v>
      </c>
      <c r="Q1011" s="2780"/>
    </row>
    <row r="1012" spans="1:28" ht="15">
      <c r="A1012" s="2772" t="s">
        <v>1838</v>
      </c>
      <c r="B1012" s="2487" t="s">
        <v>297</v>
      </c>
      <c r="C1012" s="2482"/>
      <c r="D1012" s="2482"/>
      <c r="E1012" s="2482"/>
      <c r="F1012" s="2482"/>
      <c r="G1012" s="2482"/>
      <c r="H1012" s="2487" t="str">
        <f>'Part VII-Threshold Criteria'!H169</f>
        <v>&lt;&lt; Select a Sustainable Development Certification &gt;&gt;</v>
      </c>
      <c r="I1012" s="2487"/>
      <c r="J1012" s="2487"/>
      <c r="K1012" s="2487"/>
      <c r="L1012" s="2487"/>
      <c r="M1012" s="2487"/>
      <c r="N1012" s="2487"/>
      <c r="O1012" s="2487"/>
      <c r="P1012" s="2487"/>
      <c r="Q1012" s="2487"/>
    </row>
    <row r="1013" spans="1:28" ht="15">
      <c r="A1013" s="2482"/>
      <c r="B1013" s="2774" t="s">
        <v>3157</v>
      </c>
      <c r="C1013" s="2482"/>
      <c r="D1013" s="2482"/>
      <c r="E1013" s="2482"/>
      <c r="F1013" s="2482"/>
      <c r="G1013" s="2482"/>
      <c r="H1013" s="2482"/>
      <c r="I1013" s="2482"/>
      <c r="J1013" s="2482"/>
      <c r="K1013" s="2482"/>
      <c r="L1013" s="2482"/>
      <c r="M1013" s="2484"/>
      <c r="N1013" s="2484"/>
      <c r="O1013" s="2791"/>
      <c r="P1013" s="2485"/>
      <c r="Q1013" s="2482"/>
    </row>
    <row r="1014" spans="1:28" ht="14.25">
      <c r="A1014" s="2482">
        <f>'Part VII-Threshold Criteria'!A171</f>
        <v>0</v>
      </c>
      <c r="B1014" s="2482"/>
      <c r="C1014" s="2482"/>
      <c r="D1014" s="2482"/>
      <c r="E1014" s="2482"/>
      <c r="F1014" s="2482"/>
      <c r="G1014" s="2482"/>
      <c r="H1014" s="2482"/>
      <c r="I1014" s="2482"/>
      <c r="J1014" s="2482"/>
      <c r="K1014" s="2482"/>
      <c r="L1014" s="2482"/>
      <c r="M1014" s="2482"/>
      <c r="N1014" s="2482"/>
      <c r="O1014" s="2482"/>
      <c r="P1014" s="2482"/>
      <c r="Q1014" s="2482"/>
    </row>
    <row r="1015" spans="1:28" ht="14.25">
      <c r="A1015" s="2482"/>
      <c r="B1015" s="2773" t="s">
        <v>1725</v>
      </c>
      <c r="C1015" s="2773"/>
      <c r="D1015" s="2483"/>
      <c r="E1015" s="2483"/>
      <c r="F1015" s="2483"/>
      <c r="G1015" s="2483"/>
      <c r="H1015" s="2483"/>
      <c r="I1015" s="2483"/>
      <c r="J1015" s="2483"/>
      <c r="K1015" s="2483"/>
      <c r="L1015" s="2483"/>
      <c r="M1015" s="2483"/>
      <c r="N1015" s="2483"/>
      <c r="O1015" s="2483"/>
      <c r="P1015" s="2483"/>
      <c r="Q1015" s="2483"/>
    </row>
    <row r="1016" spans="1:28" ht="14.25">
      <c r="A1016" s="2482"/>
      <c r="B1016" s="2482"/>
      <c r="C1016" s="2482"/>
      <c r="D1016" s="2482"/>
      <c r="E1016" s="2482"/>
      <c r="F1016" s="2482"/>
      <c r="G1016" s="2482"/>
      <c r="H1016" s="2482"/>
      <c r="I1016" s="2482"/>
      <c r="J1016" s="2482"/>
      <c r="K1016" s="2482"/>
      <c r="L1016" s="2482"/>
      <c r="M1016" s="2482"/>
      <c r="N1016" s="2482"/>
      <c r="O1016" s="2482"/>
      <c r="P1016" s="2482"/>
      <c r="Q1016" s="2482"/>
    </row>
    <row r="1017" spans="1:28" ht="15">
      <c r="A1017" s="2482"/>
      <c r="B1017" s="2482"/>
      <c r="C1017" s="2482"/>
      <c r="D1017" s="2482"/>
      <c r="E1017" s="2482"/>
      <c r="F1017" s="2485"/>
      <c r="G1017" s="2485"/>
      <c r="H1017" s="2485"/>
      <c r="I1017" s="2485"/>
      <c r="J1017" s="2483"/>
      <c r="K1017" s="2483"/>
      <c r="L1017" s="2483"/>
      <c r="M1017" s="2484"/>
      <c r="N1017" s="2485"/>
      <c r="O1017" s="2485"/>
      <c r="P1017" s="2791"/>
      <c r="Q1017" s="2482"/>
    </row>
    <row r="1018" spans="1:28" ht="15">
      <c r="A1018" s="2482"/>
      <c r="B1018" s="2482"/>
      <c r="C1018" s="2482"/>
      <c r="D1018" s="2482"/>
      <c r="E1018" s="2482"/>
      <c r="F1018" s="2485"/>
      <c r="G1018" s="2485"/>
      <c r="H1018" s="2485"/>
      <c r="I1018" s="2485"/>
      <c r="J1018" s="2483"/>
      <c r="K1018" s="2483"/>
      <c r="L1018" s="2483"/>
      <c r="M1018" s="2484"/>
      <c r="N1018" s="2485"/>
      <c r="O1018" s="2485"/>
      <c r="P1018" s="2791"/>
      <c r="Q1018" s="2482"/>
    </row>
    <row r="1019" spans="1:28" ht="15">
      <c r="A1019" s="2771" t="s">
        <v>3283</v>
      </c>
      <c r="B1019" s="2771" t="s">
        <v>2426</v>
      </c>
      <c r="C1019" s="2771"/>
      <c r="D1019" s="2771"/>
      <c r="E1019" s="2483"/>
      <c r="F1019" s="2483"/>
      <c r="G1019" s="2483"/>
      <c r="H1019" s="2483"/>
      <c r="I1019" s="2483"/>
      <c r="J1019" s="2483"/>
      <c r="K1019" s="2483"/>
      <c r="L1019" s="2483"/>
      <c r="M1019" s="2483"/>
      <c r="N1019" s="2482"/>
      <c r="O1019" s="2772" t="s">
        <v>1726</v>
      </c>
      <c r="P1019" s="2487"/>
      <c r="Q1019" s="2487"/>
    </row>
    <row r="1020" spans="1:28" ht="15">
      <c r="A1020" s="2482"/>
      <c r="B1020" s="2482" t="s">
        <v>4680</v>
      </c>
      <c r="C1020" s="2482"/>
      <c r="D1020" s="2482"/>
      <c r="E1020" s="2482"/>
      <c r="F1020" s="2482"/>
      <c r="G1020" s="2482"/>
      <c r="H1020" s="2482"/>
      <c r="I1020" s="2482"/>
      <c r="J1020" s="2482"/>
      <c r="K1020" s="2482"/>
      <c r="L1020" s="2482"/>
      <c r="M1020" s="2482"/>
      <c r="N1020" s="2484"/>
      <c r="O1020" s="2482"/>
      <c r="P1020" s="2487">
        <f>'Part VII-Threshold Criteria'!P177</f>
        <v>0</v>
      </c>
      <c r="Q1020" s="2487"/>
    </row>
    <row r="1021" spans="1:28" ht="14.1" customHeight="1">
      <c r="A1021" s="2482"/>
      <c r="B1021" s="2482" t="s">
        <v>5003</v>
      </c>
      <c r="C1021" s="2482"/>
      <c r="D1021" s="2482"/>
      <c r="E1021" s="2482"/>
      <c r="F1021" s="2482"/>
      <c r="G1021" s="2482"/>
      <c r="H1021" s="2482"/>
      <c r="I1021" s="2482"/>
      <c r="J1021" s="2482"/>
      <c r="K1021" s="2482"/>
      <c r="L1021" s="2482"/>
      <c r="M1021" s="2482"/>
      <c r="N1021" s="2482"/>
      <c r="O1021" s="2482"/>
      <c r="P1021" s="2487">
        <f>'Part VII-Threshold Criteria'!P178</f>
        <v>0</v>
      </c>
      <c r="Q1021" s="2487"/>
    </row>
    <row r="1022" spans="1:28" ht="15">
      <c r="A1022" s="2772" t="s">
        <v>1836</v>
      </c>
      <c r="B1022" s="2771" t="s">
        <v>5021</v>
      </c>
      <c r="C1022" s="2483"/>
      <c r="D1022" s="2483"/>
      <c r="E1022" s="2483"/>
      <c r="F1022" s="2483"/>
      <c r="G1022" s="2483"/>
      <c r="H1022" s="2483"/>
      <c r="I1022" s="2483"/>
      <c r="J1022" s="2483"/>
      <c r="K1022" s="2482"/>
      <c r="L1022" s="2792"/>
      <c r="M1022" s="2793"/>
      <c r="N1022" s="2785"/>
      <c r="O1022" s="2777"/>
      <c r="P1022" s="2777"/>
      <c r="Q1022" s="2777"/>
    </row>
    <row r="1023" spans="1:28" ht="14.1" customHeight="1">
      <c r="A1023" s="2482"/>
      <c r="B1023" s="2770" t="s">
        <v>5105</v>
      </c>
      <c r="C1023" s="2770"/>
      <c r="D1023" s="2770"/>
      <c r="E1023" s="2770"/>
      <c r="F1023" s="2770"/>
      <c r="G1023" s="2770"/>
      <c r="H1023" s="2770"/>
      <c r="I1023" s="2770"/>
      <c r="J1023" s="2770"/>
      <c r="K1023" s="2770"/>
      <c r="L1023" s="2770"/>
      <c r="M1023" s="2770"/>
      <c r="N1023" s="2770"/>
      <c r="O1023" s="2770"/>
      <c r="P1023" s="2026"/>
      <c r="Q1023" s="2026"/>
    </row>
    <row r="1024" spans="1:28" s="2482" customFormat="1" ht="28.5" customHeight="1">
      <c r="C1024" s="2770"/>
      <c r="D1024" s="4008" t="s">
        <v>5038</v>
      </c>
      <c r="E1024" s="4008"/>
      <c r="F1024" s="4008"/>
      <c r="G1024" s="4008"/>
      <c r="H1024" s="4008"/>
      <c r="I1024" s="4008"/>
      <c r="J1024" s="4008"/>
      <c r="K1024" s="4008"/>
      <c r="L1024" s="4008"/>
      <c r="M1024" s="4008"/>
      <c r="N1024" s="4008"/>
      <c r="O1024" s="4008"/>
      <c r="P1024" s="2794">
        <f>'Part VIII Scoring Criteria'!J948</f>
        <v>0</v>
      </c>
      <c r="Q1024" s="2794"/>
      <c r="R1024" s="2795"/>
      <c r="S1024" s="2795"/>
      <c r="T1024" s="2795"/>
      <c r="U1024" s="2795"/>
      <c r="V1024" s="2795"/>
      <c r="W1024" s="2795"/>
      <c r="X1024" s="2795"/>
      <c r="Y1024" s="2795"/>
      <c r="Z1024" s="2795"/>
      <c r="AA1024" s="2904"/>
      <c r="AB1024" s="2795"/>
    </row>
    <row r="1025" spans="1:17" ht="15">
      <c r="A1025" s="2482"/>
      <c r="B1025" s="2482"/>
      <c r="C1025" s="2482"/>
      <c r="D1025" s="2482"/>
      <c r="E1025" s="2482"/>
      <c r="F1025" s="2482"/>
      <c r="G1025" s="2482"/>
      <c r="H1025" s="2482"/>
      <c r="I1025" s="2482"/>
      <c r="J1025" s="2482"/>
      <c r="K1025" s="2482"/>
      <c r="L1025" s="2796" t="s">
        <v>4681</v>
      </c>
      <c r="M1025" s="2796"/>
      <c r="N1025" s="2484"/>
      <c r="O1025" s="2482"/>
      <c r="P1025" s="2485"/>
      <c r="Q1025" s="2485"/>
    </row>
    <row r="1026" spans="1:17" ht="15">
      <c r="A1026" s="2772" t="s">
        <v>1838</v>
      </c>
      <c r="B1026" s="2771" t="s">
        <v>4797</v>
      </c>
      <c r="C1026" s="2482"/>
      <c r="D1026" s="2797"/>
      <c r="E1026" s="2797"/>
      <c r="F1026" s="2797"/>
      <c r="G1026" s="2797"/>
      <c r="H1026" s="2797"/>
      <c r="I1026" s="2797"/>
      <c r="J1026" s="2797"/>
      <c r="K1026" s="2797"/>
      <c r="L1026" s="2482" t="s">
        <v>4682</v>
      </c>
      <c r="M1026" s="2484" t="s">
        <v>4683</v>
      </c>
      <c r="N1026" s="2797"/>
      <c r="O1026" s="2777"/>
      <c r="P1026" s="2777"/>
      <c r="Q1026" s="2777"/>
    </row>
    <row r="1027" spans="1:17" ht="15">
      <c r="A1027" s="2772"/>
      <c r="B1027" s="2482" t="s">
        <v>4684</v>
      </c>
      <c r="C1027" s="2482"/>
      <c r="D1027" s="2482"/>
      <c r="E1027" s="2482"/>
      <c r="F1027" s="2482"/>
      <c r="G1027" s="2482"/>
      <c r="H1027" s="2482"/>
      <c r="I1027" s="2482"/>
      <c r="J1027" s="2482"/>
      <c r="K1027" s="2798"/>
      <c r="L1027" s="2792">
        <f>ROUNDUP('Part V-Revenues &amp; Expenses'!$P$67*M1027,0)</f>
        <v>4</v>
      </c>
      <c r="M1027" s="2793">
        <f>'DCA Underwriting Assumptions'!$Q$147</f>
        <v>0.05</v>
      </c>
      <c r="N1027" s="2785" t="s">
        <v>4798</v>
      </c>
      <c r="O1027" s="2777"/>
      <c r="P1027" s="2487">
        <f>'Part VII-Threshold Criteria'!P184</f>
        <v>0</v>
      </c>
      <c r="Q1027" s="2487"/>
    </row>
    <row r="1028" spans="1:17" ht="14.1" customHeight="1">
      <c r="A1028" s="2772"/>
      <c r="B1028" s="2483"/>
      <c r="C1028" s="2482"/>
      <c r="D1028" s="2482" t="s">
        <v>4799</v>
      </c>
      <c r="E1028" s="2482"/>
      <c r="F1028" s="2482"/>
      <c r="G1028" s="2482"/>
      <c r="H1028" s="2482"/>
      <c r="I1028" s="2482"/>
      <c r="J1028" s="2482"/>
      <c r="K1028" s="2798"/>
      <c r="L1028" s="2792">
        <f>ROUNDUP(L1027*M1028,0)</f>
        <v>2</v>
      </c>
      <c r="M1028" s="2793">
        <f>'DCA Underwriting Assumptions'!$Q$148</f>
        <v>0.4</v>
      </c>
      <c r="N1028" s="2785" t="s">
        <v>4800</v>
      </c>
      <c r="O1028" s="2777"/>
      <c r="P1028" s="2487">
        <f>'Part VII-Threshold Criteria'!P185</f>
        <v>0</v>
      </c>
      <c r="Q1028" s="2487"/>
    </row>
    <row r="1029" spans="1:17" ht="14.1" customHeight="1">
      <c r="A1029" s="2772"/>
      <c r="B1029" s="2482" t="s">
        <v>4685</v>
      </c>
      <c r="C1029" s="2482"/>
      <c r="D1029" s="2482"/>
      <c r="E1029" s="2482"/>
      <c r="F1029" s="2482"/>
      <c r="G1029" s="2482"/>
      <c r="H1029" s="2482"/>
      <c r="I1029" s="2482"/>
      <c r="J1029" s="2482"/>
      <c r="K1029" s="2482"/>
      <c r="L1029" s="2792">
        <f>ROUNDUP('Part V-Revenues &amp; Expenses'!$P$67*M1029,0)</f>
        <v>2</v>
      </c>
      <c r="M1029" s="2793">
        <f>'DCA Underwriting Assumptions'!$Q$149</f>
        <v>0.02</v>
      </c>
      <c r="N1029" s="2785" t="s">
        <v>4798</v>
      </c>
      <c r="O1029" s="2777"/>
      <c r="P1029" s="2487">
        <f>'Part VII-Threshold Criteria'!P186</f>
        <v>0</v>
      </c>
      <c r="Q1029" s="2487"/>
    </row>
    <row r="1030" spans="1:17" ht="15">
      <c r="A1030" s="2772" t="s">
        <v>697</v>
      </c>
      <c r="B1030" s="2771" t="s">
        <v>4801</v>
      </c>
      <c r="C1030" s="2483"/>
      <c r="D1030" s="2483"/>
      <c r="E1030" s="2483"/>
      <c r="F1030" s="2483"/>
      <c r="G1030" s="2483"/>
      <c r="H1030" s="2483"/>
      <c r="I1030" s="2483"/>
      <c r="J1030" s="2483"/>
      <c r="K1030" s="2482"/>
      <c r="L1030" s="2792"/>
      <c r="M1030" s="2793"/>
      <c r="N1030" s="2785"/>
      <c r="O1030" s="2777"/>
      <c r="P1030" s="2777"/>
      <c r="Q1030" s="2777"/>
    </row>
    <row r="1031" spans="1:17" ht="15">
      <c r="A1031" s="2772"/>
      <c r="B1031" s="2482" t="s">
        <v>4804</v>
      </c>
      <c r="C1031" s="2482"/>
      <c r="D1031" s="2482"/>
      <c r="E1031" s="2482"/>
      <c r="F1031" s="2482"/>
      <c r="G1031" s="2482"/>
      <c r="H1031" s="2482"/>
      <c r="I1031" s="2482"/>
      <c r="J1031" s="2482"/>
      <c r="K1031" s="2482"/>
      <c r="L1031" s="2482"/>
      <c r="M1031" s="2799">
        <f>'Part VII-Threshold Criteria'!M188</f>
        <v>0</v>
      </c>
      <c r="N1031" s="2799"/>
      <c r="O1031" s="2799"/>
      <c r="P1031" s="2799"/>
      <c r="Q1031" s="2799"/>
    </row>
    <row r="1032" spans="1:17" ht="15">
      <c r="A1032" s="2772"/>
      <c r="B1032" s="2482"/>
      <c r="C1032" s="2482"/>
      <c r="D1032" s="2482" t="s">
        <v>4802</v>
      </c>
      <c r="E1032" s="2482"/>
      <c r="F1032" s="2482"/>
      <c r="G1032" s="2482"/>
      <c r="H1032" s="2482"/>
      <c r="I1032" s="2482"/>
      <c r="J1032" s="2482"/>
      <c r="K1032" s="2482"/>
      <c r="L1032" s="2482"/>
      <c r="M1032" s="2482"/>
      <c r="N1032" s="2482"/>
      <c r="O1032" s="2777"/>
      <c r="P1032" s="2485">
        <f>'Part VII-Threshold Criteria'!P189</f>
        <v>0</v>
      </c>
      <c r="Q1032" s="2485"/>
    </row>
    <row r="1033" spans="1:17" ht="15">
      <c r="A1033" s="2772"/>
      <c r="B1033" s="2482"/>
      <c r="C1033" s="2482"/>
      <c r="D1033" s="2482" t="s">
        <v>4803</v>
      </c>
      <c r="E1033" s="2482"/>
      <c r="F1033" s="2482"/>
      <c r="G1033" s="2482"/>
      <c r="H1033" s="2482"/>
      <c r="I1033" s="2482"/>
      <c r="J1033" s="2482"/>
      <c r="K1033" s="2482"/>
      <c r="L1033" s="2482"/>
      <c r="M1033" s="2482"/>
      <c r="N1033" s="2482"/>
      <c r="O1033" s="2777"/>
      <c r="P1033" s="2485">
        <f>'Part VII-Threshold Criteria'!P190</f>
        <v>0</v>
      </c>
      <c r="Q1033" s="2485"/>
    </row>
    <row r="1034" spans="1:17" ht="15">
      <c r="A1034" s="2482"/>
      <c r="B1034" s="2774" t="s">
        <v>3157</v>
      </c>
      <c r="C1034" s="2482"/>
      <c r="D1034" s="2774"/>
      <c r="E1034" s="2774"/>
      <c r="F1034" s="2774"/>
      <c r="G1034" s="2774"/>
      <c r="H1034" s="2483"/>
      <c r="I1034" s="2484"/>
      <c r="J1034" s="2484"/>
      <c r="K1034" s="2484"/>
      <c r="L1034" s="2485"/>
      <c r="M1034" s="2485"/>
      <c r="N1034" s="2485"/>
      <c r="O1034" s="2485"/>
      <c r="P1034" s="2485"/>
      <c r="Q1034" s="2485"/>
    </row>
    <row r="1035" spans="1:17" ht="14.25">
      <c r="A1035" s="2482">
        <f>'Part VII-Threshold Criteria'!A192</f>
        <v>0</v>
      </c>
      <c r="B1035" s="2482"/>
      <c r="C1035" s="2482"/>
      <c r="D1035" s="2482"/>
      <c r="E1035" s="2482"/>
      <c r="F1035" s="2482"/>
      <c r="G1035" s="2482"/>
      <c r="H1035" s="2482"/>
      <c r="I1035" s="2482"/>
      <c r="J1035" s="2482"/>
      <c r="K1035" s="2482"/>
      <c r="L1035" s="2482"/>
      <c r="M1035" s="2482"/>
      <c r="N1035" s="2482"/>
      <c r="O1035" s="2482"/>
      <c r="P1035" s="2482"/>
      <c r="Q1035" s="2482"/>
    </row>
    <row r="1036" spans="1:17" ht="14.25">
      <c r="A1036" s="2482"/>
      <c r="B1036" s="2773" t="s">
        <v>1725</v>
      </c>
      <c r="C1036" s="2773"/>
      <c r="D1036" s="2483"/>
      <c r="E1036" s="2483"/>
      <c r="F1036" s="2483"/>
      <c r="G1036" s="2483"/>
      <c r="H1036" s="2483"/>
      <c r="I1036" s="2483"/>
      <c r="J1036" s="2483"/>
      <c r="K1036" s="2483"/>
      <c r="L1036" s="2483"/>
      <c r="M1036" s="2483"/>
      <c r="N1036" s="2483"/>
      <c r="O1036" s="2483"/>
      <c r="P1036" s="2483"/>
      <c r="Q1036" s="2483"/>
    </row>
    <row r="1037" spans="1:17" ht="14.25">
      <c r="A1037" s="2482"/>
      <c r="B1037" s="2482"/>
      <c r="C1037" s="2482"/>
      <c r="D1037" s="2482"/>
      <c r="E1037" s="2482"/>
      <c r="F1037" s="2482"/>
      <c r="G1037" s="2482"/>
      <c r="H1037" s="2482"/>
      <c r="I1037" s="2482"/>
      <c r="J1037" s="2482"/>
      <c r="K1037" s="2482"/>
      <c r="L1037" s="2482"/>
      <c r="M1037" s="2482"/>
      <c r="N1037" s="2482"/>
      <c r="O1037" s="2482"/>
      <c r="P1037" s="2482"/>
      <c r="Q1037" s="2482"/>
    </row>
    <row r="1038" spans="1:17" ht="14.25">
      <c r="A1038" s="2483"/>
      <c r="B1038" s="2483"/>
      <c r="C1038" s="2483"/>
      <c r="D1038" s="2483"/>
      <c r="E1038" s="2483"/>
      <c r="F1038" s="2483"/>
      <c r="G1038" s="2483"/>
      <c r="H1038" s="2483"/>
      <c r="I1038" s="2483"/>
      <c r="J1038" s="2483"/>
      <c r="K1038" s="2483"/>
      <c r="L1038" s="2483"/>
      <c r="M1038" s="2483"/>
      <c r="N1038" s="2483"/>
      <c r="O1038" s="2483"/>
      <c r="P1038" s="2483"/>
      <c r="Q1038" s="2483"/>
    </row>
    <row r="1039" spans="1:17" ht="14.25">
      <c r="A1039" s="2482"/>
      <c r="B1039" s="2483"/>
      <c r="C1039" s="2483"/>
      <c r="D1039" s="2483"/>
      <c r="E1039" s="2483"/>
      <c r="F1039" s="2483"/>
      <c r="G1039" s="2483"/>
      <c r="H1039" s="2483"/>
      <c r="I1039" s="2483"/>
      <c r="J1039" s="2483"/>
      <c r="K1039" s="2483"/>
      <c r="L1039" s="2483"/>
      <c r="M1039" s="2483"/>
      <c r="N1039" s="2483"/>
      <c r="O1039" s="2483"/>
      <c r="P1039" s="2483"/>
      <c r="Q1039" s="2483"/>
    </row>
    <row r="1040" spans="1:17" ht="15">
      <c r="A1040" s="2771" t="s">
        <v>3284</v>
      </c>
      <c r="B1040" s="2487" t="s">
        <v>2427</v>
      </c>
      <c r="C1040" s="2487"/>
      <c r="D1040" s="2487"/>
      <c r="E1040" s="2487"/>
      <c r="F1040" s="2487"/>
      <c r="G1040" s="2487"/>
      <c r="H1040" s="2483"/>
      <c r="I1040" s="2483"/>
      <c r="J1040" s="2483"/>
      <c r="K1040" s="2483"/>
      <c r="L1040" s="2483"/>
      <c r="M1040" s="2483"/>
      <c r="N1040" s="2482"/>
      <c r="O1040" s="2772" t="s">
        <v>1726</v>
      </c>
      <c r="P1040" s="2487"/>
      <c r="Q1040" s="2487"/>
    </row>
    <row r="1041" spans="1:17" ht="15">
      <c r="A1041" s="2482"/>
      <c r="B1041" s="2482" t="s">
        <v>4680</v>
      </c>
      <c r="C1041" s="2482"/>
      <c r="D1041" s="2482"/>
      <c r="E1041" s="2482"/>
      <c r="F1041" s="2482"/>
      <c r="G1041" s="2482"/>
      <c r="H1041" s="2482"/>
      <c r="I1041" s="2482"/>
      <c r="J1041" s="2482"/>
      <c r="K1041" s="2482"/>
      <c r="L1041" s="2482"/>
      <c r="M1041" s="2482"/>
      <c r="N1041" s="2482"/>
      <c r="O1041" s="2482"/>
      <c r="P1041" s="2487">
        <f>'Part VII-Threshold Criteria'!P198</f>
        <v>0</v>
      </c>
      <c r="Q1041" s="2487"/>
    </row>
    <row r="1042" spans="1:17" ht="14.1" customHeight="1">
      <c r="A1042" s="2482"/>
      <c r="B1042" s="2482" t="s">
        <v>5004</v>
      </c>
      <c r="C1042" s="2482"/>
      <c r="D1042" s="2482"/>
      <c r="E1042" s="2482"/>
      <c r="F1042" s="2482"/>
      <c r="G1042" s="2482"/>
      <c r="H1042" s="2482"/>
      <c r="I1042" s="2482"/>
      <c r="J1042" s="2482"/>
      <c r="K1042" s="2482"/>
      <c r="L1042" s="2482"/>
      <c r="M1042" s="2482"/>
      <c r="N1042" s="2482"/>
      <c r="O1042" s="2482"/>
      <c r="P1042" s="2487">
        <f>'Part VII-Threshold Criteria'!P199</f>
        <v>0</v>
      </c>
      <c r="Q1042" s="2487"/>
    </row>
    <row r="1043" spans="1:17" ht="15">
      <c r="A1043" s="2772" t="s">
        <v>1836</v>
      </c>
      <c r="B1043" s="2487" t="s">
        <v>432</v>
      </c>
      <c r="C1043" s="2482"/>
      <c r="D1043" s="2487"/>
      <c r="E1043" s="2487"/>
      <c r="F1043" s="2487"/>
      <c r="G1043" s="2487"/>
      <c r="H1043" s="2487"/>
      <c r="I1043" s="2487"/>
      <c r="J1043" s="2487"/>
      <c r="K1043" s="2487"/>
      <c r="L1043" s="2487"/>
      <c r="M1043" s="2487"/>
      <c r="N1043" s="2482"/>
      <c r="O1043" s="2777"/>
      <c r="P1043" s="2485"/>
      <c r="Q1043" s="2485"/>
    </row>
    <row r="1044" spans="1:17" ht="14.1" customHeight="1">
      <c r="A1044" s="2482"/>
      <c r="B1044" s="2783" t="s">
        <v>1611</v>
      </c>
      <c r="C1044" s="2770" t="s">
        <v>4736</v>
      </c>
      <c r="D1044" s="2770"/>
      <c r="E1044" s="2770"/>
      <c r="F1044" s="2770" t="str">
        <f>'Part VII-Threshold Criteria'!F201</f>
        <v>&lt;&lt;Select exterior material /finish upgrade choice from options provided here&gt;&gt;</v>
      </c>
      <c r="G1044" s="2770"/>
      <c r="H1044" s="2770"/>
      <c r="I1044" s="2770"/>
      <c r="J1044" s="2770"/>
      <c r="K1044" s="2770"/>
      <c r="L1044" s="2770"/>
      <c r="M1044" s="2770"/>
      <c r="N1044" s="2770"/>
      <c r="O1044" s="2770"/>
      <c r="P1044" s="2770"/>
      <c r="Q1044" s="2770"/>
    </row>
    <row r="1045" spans="1:17" ht="14.1" customHeight="1">
      <c r="A1045" s="2482"/>
      <c r="B1045" s="2783" t="s">
        <v>1612</v>
      </c>
      <c r="C1045" s="2770" t="s">
        <v>4737</v>
      </c>
      <c r="D1045" s="2770"/>
      <c r="E1045" s="2770"/>
      <c r="F1045" s="2770"/>
      <c r="G1045" s="2770"/>
      <c r="H1045" s="2770" t="str">
        <f>'Part VII-Threshold Criteria'!H202</f>
        <v>&lt;&lt;Select materials&gt;&gt;</v>
      </c>
      <c r="I1045" s="2770"/>
      <c r="J1045" s="2770"/>
      <c r="K1045" s="2770"/>
      <c r="L1045" s="2770"/>
      <c r="M1045" s="2770"/>
      <c r="N1045" s="2770"/>
      <c r="O1045" s="2770"/>
      <c r="P1045" s="2770"/>
      <c r="Q1045" s="2770"/>
    </row>
    <row r="1046" spans="1:17" ht="14.1" customHeight="1">
      <c r="A1046" s="2772"/>
      <c r="B1046" s="2783" t="s">
        <v>1613</v>
      </c>
      <c r="C1046" s="2482" t="s">
        <v>4686</v>
      </c>
      <c r="D1046" s="2482"/>
      <c r="E1046" s="2482"/>
      <c r="F1046" s="2482"/>
      <c r="G1046" s="2482"/>
      <c r="H1046" s="2482"/>
      <c r="I1046" s="2482"/>
      <c r="J1046" s="2482"/>
      <c r="K1046" s="2482"/>
      <c r="L1046" s="2482"/>
      <c r="M1046" s="2482"/>
      <c r="N1046" s="2482"/>
      <c r="O1046" s="2482"/>
      <c r="P1046" s="2482"/>
      <c r="Q1046" s="2482"/>
    </row>
    <row r="1047" spans="1:17" ht="15">
      <c r="A1047" s="2772"/>
      <c r="B1047" s="2777"/>
      <c r="C1047" s="2482">
        <f>'Part VII-Threshold Criteria'!C204</f>
        <v>0</v>
      </c>
      <c r="D1047" s="2482"/>
      <c r="E1047" s="2482"/>
      <c r="F1047" s="2482"/>
      <c r="G1047" s="2482"/>
      <c r="H1047" s="2482"/>
      <c r="I1047" s="2482"/>
      <c r="J1047" s="2482"/>
      <c r="K1047" s="2482"/>
      <c r="L1047" s="2482"/>
      <c r="M1047" s="2482"/>
      <c r="N1047" s="2482"/>
      <c r="O1047" s="2482"/>
      <c r="P1047" s="2482"/>
      <c r="Q1047" s="2482"/>
    </row>
    <row r="1048" spans="1:17" ht="15">
      <c r="A1048" s="2772"/>
      <c r="B1048" s="2777"/>
      <c r="C1048" s="2482">
        <f>'Part VII-Threshold Criteria'!C205</f>
        <v>0</v>
      </c>
      <c r="D1048" s="2482"/>
      <c r="E1048" s="2482"/>
      <c r="F1048" s="2482"/>
      <c r="G1048" s="2482"/>
      <c r="H1048" s="2482"/>
      <c r="I1048" s="2482"/>
      <c r="J1048" s="2482"/>
      <c r="K1048" s="2482"/>
      <c r="L1048" s="2482"/>
      <c r="M1048" s="2482"/>
      <c r="N1048" s="2482"/>
      <c r="O1048" s="2482"/>
      <c r="P1048" s="2482"/>
      <c r="Q1048" s="2482"/>
    </row>
    <row r="1049" spans="1:17" ht="15">
      <c r="A1049" s="2482"/>
      <c r="B1049" s="2774" t="s">
        <v>3157</v>
      </c>
      <c r="C1049" s="2482"/>
      <c r="D1049" s="2774"/>
      <c r="E1049" s="2774"/>
      <c r="F1049" s="2774"/>
      <c r="G1049" s="2774"/>
      <c r="H1049" s="2483"/>
      <c r="I1049" s="2484"/>
      <c r="J1049" s="2484"/>
      <c r="K1049" s="2484"/>
      <c r="L1049" s="2485"/>
      <c r="M1049" s="2485"/>
      <c r="N1049" s="2485"/>
      <c r="O1049" s="2485"/>
      <c r="P1049" s="2485"/>
      <c r="Q1049" s="2485"/>
    </row>
    <row r="1050" spans="1:17" ht="14.25">
      <c r="A1050" s="2482">
        <f>'Part VII-Threshold Criteria'!A207</f>
        <v>0</v>
      </c>
      <c r="B1050" s="2482"/>
      <c r="C1050" s="2482"/>
      <c r="D1050" s="2482"/>
      <c r="E1050" s="2482"/>
      <c r="F1050" s="2482"/>
      <c r="G1050" s="2482"/>
      <c r="H1050" s="2482"/>
      <c r="I1050" s="2482"/>
      <c r="J1050" s="2482"/>
      <c r="K1050" s="2482"/>
      <c r="L1050" s="2482"/>
      <c r="M1050" s="2482"/>
      <c r="N1050" s="2482"/>
      <c r="O1050" s="2482"/>
      <c r="P1050" s="2482"/>
      <c r="Q1050" s="2482"/>
    </row>
    <row r="1051" spans="1:17" ht="14.25">
      <c r="A1051" s="2482"/>
      <c r="B1051" s="2773" t="s">
        <v>1725</v>
      </c>
      <c r="C1051" s="2773"/>
      <c r="D1051" s="2483"/>
      <c r="E1051" s="2483"/>
      <c r="F1051" s="2483"/>
      <c r="G1051" s="2483"/>
      <c r="H1051" s="2483"/>
      <c r="I1051" s="2483"/>
      <c r="J1051" s="2483"/>
      <c r="K1051" s="2483"/>
      <c r="L1051" s="2483"/>
      <c r="M1051" s="2483"/>
      <c r="N1051" s="2483"/>
      <c r="O1051" s="2483"/>
      <c r="P1051" s="2483"/>
      <c r="Q1051" s="2483"/>
    </row>
    <row r="1052" spans="1:17" ht="14.25">
      <c r="A1052" s="2482"/>
      <c r="B1052" s="2482"/>
      <c r="C1052" s="2482"/>
      <c r="D1052" s="2482"/>
      <c r="E1052" s="2482"/>
      <c r="F1052" s="2482"/>
      <c r="G1052" s="2482"/>
      <c r="H1052" s="2482"/>
      <c r="I1052" s="2482"/>
      <c r="J1052" s="2482"/>
      <c r="K1052" s="2482"/>
      <c r="L1052" s="2482"/>
      <c r="M1052" s="2482"/>
      <c r="N1052" s="2482"/>
      <c r="O1052" s="2482"/>
      <c r="P1052" s="2482"/>
      <c r="Q1052" s="2482"/>
    </row>
    <row r="1053" spans="1:17" ht="14.25">
      <c r="A1053" s="2483"/>
      <c r="B1053" s="2483"/>
      <c r="C1053" s="2483"/>
      <c r="D1053" s="2483"/>
      <c r="E1053" s="2483"/>
      <c r="F1053" s="2483"/>
      <c r="G1053" s="2483"/>
      <c r="H1053" s="2483"/>
      <c r="I1053" s="2483"/>
      <c r="J1053" s="2483"/>
      <c r="K1053" s="2483"/>
      <c r="L1053" s="2483"/>
      <c r="M1053" s="2483"/>
      <c r="N1053" s="2483"/>
      <c r="O1053" s="2483"/>
      <c r="P1053" s="2483"/>
      <c r="Q1053" s="2483"/>
    </row>
    <row r="1054" spans="1:17" ht="14.25">
      <c r="A1054" s="2482"/>
      <c r="B1054" s="2483"/>
      <c r="C1054" s="2483"/>
      <c r="D1054" s="2483"/>
      <c r="E1054" s="2483"/>
      <c r="F1054" s="2483"/>
      <c r="G1054" s="2483"/>
      <c r="H1054" s="2483"/>
      <c r="I1054" s="2483"/>
      <c r="J1054" s="2483"/>
      <c r="K1054" s="2483"/>
      <c r="L1054" s="2483"/>
      <c r="M1054" s="2483"/>
      <c r="N1054" s="2483"/>
      <c r="O1054" s="2483"/>
      <c r="P1054" s="2483"/>
      <c r="Q1054" s="2483"/>
    </row>
    <row r="1055" spans="1:17" ht="15">
      <c r="A1055" s="2771" t="s">
        <v>3282</v>
      </c>
      <c r="B1055" s="2771" t="s">
        <v>4805</v>
      </c>
      <c r="C1055" s="2771"/>
      <c r="D1055" s="2483"/>
      <c r="E1055" s="2483"/>
      <c r="F1055" s="2483"/>
      <c r="G1055" s="2483"/>
      <c r="H1055" s="2483"/>
      <c r="I1055" s="2482"/>
      <c r="J1055" s="2482"/>
      <c r="K1055" s="2482"/>
      <c r="L1055" s="2482"/>
      <c r="M1055" s="2482"/>
      <c r="N1055" s="2482"/>
      <c r="O1055" s="2772" t="s">
        <v>1726</v>
      </c>
      <c r="P1055" s="2487"/>
      <c r="Q1055" s="2487"/>
    </row>
    <row r="1056" spans="1:17" ht="15">
      <c r="A1056" s="2772"/>
      <c r="B1056" s="2482" t="s">
        <v>4795</v>
      </c>
      <c r="C1056" s="2482"/>
      <c r="D1056" s="2482"/>
      <c r="E1056" s="2482"/>
      <c r="F1056" s="2482"/>
      <c r="G1056" s="2482"/>
      <c r="H1056" s="2482"/>
      <c r="I1056" s="2482"/>
      <c r="J1056" s="2482"/>
      <c r="K1056" s="2482"/>
      <c r="L1056" s="2482"/>
      <c r="M1056" s="2482"/>
      <c r="N1056" s="2482"/>
      <c r="O1056" s="2777"/>
      <c r="P1056" s="2482" t="str">
        <f>'Part VII-Threshold Criteria'!P213</f>
        <v>&lt;&lt;Select&gt;&gt;</v>
      </c>
      <c r="Q1056" s="2482"/>
    </row>
    <row r="1057" spans="1:17" ht="15">
      <c r="A1057" s="2772"/>
      <c r="B1057" s="2482" t="s">
        <v>4806</v>
      </c>
      <c r="C1057" s="2482"/>
      <c r="D1057" s="2482"/>
      <c r="E1057" s="2482"/>
      <c r="F1057" s="2482"/>
      <c r="G1057" s="2482"/>
      <c r="H1057" s="2482"/>
      <c r="I1057" s="2482"/>
      <c r="J1057" s="2482"/>
      <c r="K1057" s="2482"/>
      <c r="L1057" s="2482"/>
      <c r="M1057" s="2482"/>
      <c r="N1057" s="2482"/>
      <c r="O1057" s="2777"/>
      <c r="P1057" s="2482" t="str">
        <f>'Part VII-Threshold Criteria'!P214</f>
        <v>&lt;&lt;Select&gt;&gt;</v>
      </c>
      <c r="Q1057" s="2482"/>
    </row>
    <row r="1058" spans="1:17" ht="15">
      <c r="A1058" s="2772"/>
      <c r="B1058" s="2482" t="s">
        <v>4807</v>
      </c>
      <c r="C1058" s="2482"/>
      <c r="D1058" s="2482"/>
      <c r="E1058" s="2482"/>
      <c r="F1058" s="2482"/>
      <c r="G1058" s="2482"/>
      <c r="H1058" s="2482"/>
      <c r="I1058" s="2482"/>
      <c r="J1058" s="2482"/>
      <c r="K1058" s="2484"/>
      <c r="L1058" s="2482"/>
      <c r="M1058" s="2777"/>
      <c r="N1058" s="2482"/>
      <c r="O1058" s="2482"/>
      <c r="P1058" s="2482" t="str">
        <f>'Part VII-Threshold Criteria'!P215</f>
        <v>&lt;&lt;Select&gt;&gt;</v>
      </c>
      <c r="Q1058" s="2482"/>
    </row>
    <row r="1059" spans="1:17" ht="14.1" customHeight="1">
      <c r="A1059" s="2772"/>
      <c r="B1059" s="2482" t="s">
        <v>4808</v>
      </c>
      <c r="C1059" s="2482"/>
      <c r="D1059" s="2482"/>
      <c r="E1059" s="2482"/>
      <c r="F1059" s="2482"/>
      <c r="G1059" s="2482"/>
      <c r="H1059" s="2482"/>
      <c r="I1059" s="2482"/>
      <c r="J1059" s="2482"/>
      <c r="K1059" s="2482"/>
      <c r="L1059" s="2482"/>
      <c r="M1059" s="2482"/>
      <c r="N1059" s="2482"/>
      <c r="O1059" s="2482"/>
      <c r="P1059" s="2482" t="str">
        <f>'Part VII-Threshold Criteria'!P216</f>
        <v>&lt;&lt;Select&gt;&gt;</v>
      </c>
      <c r="Q1059" s="2482"/>
    </row>
    <row r="1060" spans="1:17" ht="15">
      <c r="A1060" s="2772"/>
      <c r="B1060" s="2482" t="s">
        <v>4809</v>
      </c>
      <c r="C1060" s="2482"/>
      <c r="D1060" s="2482"/>
      <c r="E1060" s="2482"/>
      <c r="F1060" s="2482"/>
      <c r="G1060" s="2482"/>
      <c r="H1060" s="2482"/>
      <c r="I1060" s="2482"/>
      <c r="J1060" s="2482"/>
      <c r="K1060" s="2482"/>
      <c r="L1060" s="2482"/>
      <c r="M1060" s="2482"/>
      <c r="N1060" s="2482"/>
      <c r="O1060" s="2482">
        <f>'Part VII-Threshold Criteria'!O217</f>
        <v>0</v>
      </c>
      <c r="P1060" s="2482"/>
      <c r="Q1060" s="2482"/>
    </row>
    <row r="1061" spans="1:17" ht="15">
      <c r="A1061" s="2772"/>
      <c r="B1061" s="2487" t="s">
        <v>4687</v>
      </c>
      <c r="C1061" s="2482"/>
      <c r="D1061" s="2482"/>
      <c r="E1061" s="2482"/>
      <c r="F1061" s="2482"/>
      <c r="G1061" s="2487"/>
      <c r="H1061" s="2487"/>
      <c r="I1061" s="2487"/>
      <c r="J1061" s="2487"/>
      <c r="K1061" s="2487"/>
      <c r="L1061" s="2487"/>
      <c r="M1061" s="2482"/>
      <c r="N1061" s="2482"/>
      <c r="O1061" s="2482"/>
      <c r="P1061" s="2482"/>
      <c r="Q1061" s="2482"/>
    </row>
    <row r="1062" spans="1:17" ht="15">
      <c r="A1062" s="2482"/>
      <c r="B1062" s="2774" t="s">
        <v>3157</v>
      </c>
      <c r="C1062" s="2482"/>
      <c r="D1062" s="2774"/>
      <c r="E1062" s="2774"/>
      <c r="F1062" s="2774"/>
      <c r="G1062" s="2774"/>
      <c r="H1062" s="2483"/>
      <c r="I1062" s="2484"/>
      <c r="J1062" s="2484"/>
      <c r="K1062" s="2484"/>
      <c r="L1062" s="2485"/>
      <c r="M1062" s="2485"/>
      <c r="N1062" s="2485"/>
      <c r="O1062" s="2485"/>
      <c r="P1062" s="2485"/>
      <c r="Q1062" s="2485"/>
    </row>
    <row r="1063" spans="1:17" ht="14.25">
      <c r="A1063" s="2482">
        <f>'Part VII-Threshold Criteria'!A220</f>
        <v>0</v>
      </c>
      <c r="B1063" s="2482"/>
      <c r="C1063" s="2482"/>
      <c r="D1063" s="2482"/>
      <c r="E1063" s="2482"/>
      <c r="F1063" s="2482"/>
      <c r="G1063" s="2482"/>
      <c r="H1063" s="2482"/>
      <c r="I1063" s="2482"/>
      <c r="J1063" s="2482"/>
      <c r="K1063" s="2482"/>
      <c r="L1063" s="2482"/>
      <c r="M1063" s="2482"/>
      <c r="N1063" s="2482"/>
      <c r="O1063" s="2482"/>
      <c r="P1063" s="2482"/>
      <c r="Q1063" s="2482"/>
    </row>
    <row r="1064" spans="1:17" ht="14.25">
      <c r="A1064" s="2482"/>
      <c r="B1064" s="2773" t="s">
        <v>1725</v>
      </c>
      <c r="C1064" s="2773"/>
      <c r="D1064" s="2483"/>
      <c r="E1064" s="2483"/>
      <c r="F1064" s="2483"/>
      <c r="G1064" s="2483"/>
      <c r="H1064" s="2483"/>
      <c r="I1064" s="2483"/>
      <c r="J1064" s="2483"/>
      <c r="K1064" s="2483"/>
      <c r="L1064" s="2483"/>
      <c r="M1064" s="2483"/>
      <c r="N1064" s="2483"/>
      <c r="O1064" s="2482"/>
      <c r="P1064" s="2483"/>
      <c r="Q1064" s="2483"/>
    </row>
    <row r="1065" spans="1:17" ht="14.25">
      <c r="A1065" s="2482"/>
      <c r="B1065" s="2482"/>
      <c r="C1065" s="2482"/>
      <c r="D1065" s="2482"/>
      <c r="E1065" s="2482"/>
      <c r="F1065" s="2482"/>
      <c r="G1065" s="2482"/>
      <c r="H1065" s="2482"/>
      <c r="I1065" s="2482"/>
      <c r="J1065" s="2482"/>
      <c r="K1065" s="2482"/>
      <c r="L1065" s="2482"/>
      <c r="M1065" s="2482"/>
      <c r="N1065" s="2482"/>
      <c r="O1065" s="2482"/>
      <c r="P1065" s="2482"/>
      <c r="Q1065" s="2482"/>
    </row>
    <row r="1066" spans="1:17" ht="15">
      <c r="A1066" s="2485"/>
      <c r="B1066" s="2484"/>
      <c r="C1066" s="2483"/>
      <c r="D1066" s="2483"/>
      <c r="E1066" s="2483"/>
      <c r="F1066" s="2483"/>
      <c r="G1066" s="2483"/>
      <c r="H1066" s="2483"/>
      <c r="I1066" s="2483"/>
      <c r="J1066" s="2483"/>
      <c r="K1066" s="2483"/>
      <c r="L1066" s="2483"/>
      <c r="M1066" s="2483"/>
      <c r="N1066" s="2483"/>
      <c r="O1066" s="2483"/>
      <c r="P1066" s="2483"/>
      <c r="Q1066" s="2485"/>
    </row>
    <row r="1067" spans="1:17" ht="15">
      <c r="A1067" s="2482"/>
      <c r="B1067" s="2484"/>
      <c r="C1067" s="2483"/>
      <c r="D1067" s="2483"/>
      <c r="E1067" s="2483"/>
      <c r="F1067" s="2483"/>
      <c r="G1067" s="2483"/>
      <c r="H1067" s="2483"/>
      <c r="I1067" s="2483"/>
      <c r="J1067" s="2483"/>
      <c r="K1067" s="2483"/>
      <c r="L1067" s="2483"/>
      <c r="M1067" s="2483"/>
      <c r="N1067" s="2483"/>
      <c r="O1067" s="2483"/>
      <c r="P1067" s="2483"/>
      <c r="Q1067" s="2485"/>
    </row>
    <row r="1068" spans="1:17" ht="15">
      <c r="A1068" s="2771" t="s">
        <v>3285</v>
      </c>
      <c r="B1068" s="2487" t="s">
        <v>4435</v>
      </c>
      <c r="C1068" s="2487"/>
      <c r="D1068" s="2487"/>
      <c r="E1068" s="2487"/>
      <c r="F1068" s="2487"/>
      <c r="G1068" s="2487"/>
      <c r="H1068" s="2483"/>
      <c r="I1068" s="2483"/>
      <c r="J1068" s="2483"/>
      <c r="K1068" s="2483"/>
      <c r="L1068" s="2483"/>
      <c r="M1068" s="2483"/>
      <c r="N1068" s="2777"/>
      <c r="O1068" s="2772" t="s">
        <v>1726</v>
      </c>
      <c r="P1068" s="2487"/>
      <c r="Q1068" s="2487"/>
    </row>
    <row r="1069" spans="1:17" ht="14.1" customHeight="1">
      <c r="A1069" s="2771"/>
      <c r="B1069" s="2482" t="s">
        <v>4688</v>
      </c>
      <c r="C1069" s="2482"/>
      <c r="D1069" s="2482"/>
      <c r="E1069" s="2482"/>
      <c r="F1069" s="2482"/>
      <c r="G1069" s="2482"/>
      <c r="H1069" s="2482"/>
      <c r="I1069" s="2482"/>
      <c r="J1069" s="2482"/>
      <c r="K1069" s="2482"/>
      <c r="L1069" s="2482"/>
      <c r="M1069" s="2482"/>
      <c r="N1069" s="2482"/>
      <c r="O1069" s="2482"/>
      <c r="P1069" s="2487">
        <f>'Part VII-Threshold Criteria'!P226</f>
        <v>0</v>
      </c>
      <c r="Q1069" s="2487"/>
    </row>
    <row r="1070" spans="1:17" ht="15">
      <c r="A1070" s="2512" t="s">
        <v>1836</v>
      </c>
      <c r="B1070" s="2780" t="s">
        <v>4811</v>
      </c>
      <c r="C1070" s="2780"/>
      <c r="D1070" s="2780"/>
      <c r="E1070" s="2780"/>
      <c r="F1070" s="2780"/>
      <c r="G1070" s="2780"/>
      <c r="H1070" s="2780"/>
      <c r="I1070" s="2780"/>
      <c r="J1070" s="2780"/>
      <c r="K1070" s="2780"/>
      <c r="L1070" s="2780"/>
      <c r="M1070" s="2780"/>
      <c r="N1070" s="2780"/>
      <c r="O1070" s="2780"/>
      <c r="P1070" s="2780"/>
      <c r="Q1070" s="2780"/>
    </row>
    <row r="1071" spans="1:17" ht="14.1" customHeight="1">
      <c r="A1071" s="2512"/>
      <c r="B1071" s="2483"/>
      <c r="C1071" s="2513" t="s">
        <v>4810</v>
      </c>
      <c r="D1071" s="2781"/>
      <c r="E1071" s="2781"/>
      <c r="F1071" s="2483"/>
      <c r="G1071" s="2770" t="s">
        <v>5005</v>
      </c>
      <c r="H1071" s="2770"/>
      <c r="I1071" s="2770"/>
      <c r="J1071" s="2770"/>
      <c r="K1071" s="2770"/>
      <c r="L1071" s="2770"/>
      <c r="M1071" s="2770"/>
      <c r="N1071" s="2770"/>
      <c r="O1071" s="2770"/>
      <c r="P1071" s="2485">
        <f>'Part VII-Threshold Criteria'!P228</f>
        <v>0</v>
      </c>
      <c r="Q1071" s="2485"/>
    </row>
    <row r="1072" spans="1:17" ht="14.1" customHeight="1">
      <c r="A1072" s="2512"/>
      <c r="B1072" s="2483"/>
      <c r="C1072" s="2770" t="s">
        <v>4812</v>
      </c>
      <c r="D1072" s="2770"/>
      <c r="E1072" s="2770"/>
      <c r="F1072" s="2770"/>
      <c r="G1072" s="2770" t="s">
        <v>5006</v>
      </c>
      <c r="H1072" s="2770"/>
      <c r="I1072" s="2770"/>
      <c r="J1072" s="2770"/>
      <c r="K1072" s="2770"/>
      <c r="L1072" s="2770"/>
      <c r="M1072" s="2770"/>
      <c r="N1072" s="2770"/>
      <c r="O1072" s="2770"/>
      <c r="P1072" s="2485">
        <f>'Part VII-Threshold Criteria'!P229</f>
        <v>0</v>
      </c>
      <c r="Q1072" s="2485"/>
    </row>
    <row r="1073" spans="1:17" ht="14.1" customHeight="1">
      <c r="A1073" s="2512" t="s">
        <v>1838</v>
      </c>
      <c r="B1073" s="2770" t="s">
        <v>5106</v>
      </c>
      <c r="C1073" s="2770"/>
      <c r="D1073" s="2770"/>
      <c r="E1073" s="2770"/>
      <c r="F1073" s="2770"/>
      <c r="G1073" s="2770"/>
      <c r="H1073" s="2770"/>
      <c r="I1073" s="2770"/>
      <c r="J1073" s="2770"/>
      <c r="K1073" s="2770"/>
      <c r="L1073" s="2770"/>
      <c r="M1073" s="2770"/>
      <c r="N1073" s="2770"/>
      <c r="O1073" s="2770"/>
      <c r="P1073" s="2485">
        <f>'Part VII-Threshold Criteria'!P230</f>
        <v>0</v>
      </c>
      <c r="Q1073" s="2485"/>
    </row>
    <row r="1074" spans="1:17" ht="15">
      <c r="A1074" s="2772" t="s">
        <v>697</v>
      </c>
      <c r="B1074" s="2482" t="s">
        <v>5107</v>
      </c>
      <c r="C1074" s="2482"/>
      <c r="D1074" s="2482"/>
      <c r="E1074" s="2482"/>
      <c r="F1074" s="2482"/>
      <c r="G1074" s="2482" t="s">
        <v>5108</v>
      </c>
      <c r="H1074" s="2482"/>
      <c r="I1074" s="2482"/>
      <c r="J1074" s="2482"/>
      <c r="K1074" s="2482"/>
      <c r="L1074" s="2482"/>
      <c r="M1074" s="2482"/>
      <c r="N1074" s="2482"/>
      <c r="O1074" s="2482"/>
      <c r="P1074" s="2485">
        <f>'Part VII-Threshold Criteria'!P231</f>
        <v>0</v>
      </c>
      <c r="Q1074" s="2485"/>
    </row>
    <row r="1075" spans="1:17" ht="14.1" customHeight="1">
      <c r="A1075" s="2512" t="s">
        <v>1957</v>
      </c>
      <c r="B1075" s="2770" t="s">
        <v>5109</v>
      </c>
      <c r="C1075" s="2770"/>
      <c r="D1075" s="2770"/>
      <c r="E1075" s="2770"/>
      <c r="F1075" s="2770"/>
      <c r="G1075" s="2770"/>
      <c r="H1075" s="2770"/>
      <c r="I1075" s="2770"/>
      <c r="J1075" s="2770"/>
      <c r="K1075" s="2770"/>
      <c r="L1075" s="2770"/>
      <c r="M1075" s="2770"/>
      <c r="N1075" s="2770"/>
      <c r="O1075" s="2770"/>
      <c r="P1075" s="2485">
        <f>'Part VII-Threshold Criteria'!P232</f>
        <v>0</v>
      </c>
      <c r="Q1075" s="2485"/>
    </row>
    <row r="1076" spans="1:17" ht="15">
      <c r="A1076" s="2482"/>
      <c r="B1076" s="2774" t="s">
        <v>3157</v>
      </c>
      <c r="C1076" s="2482"/>
      <c r="D1076" s="2774"/>
      <c r="E1076" s="2774"/>
      <c r="F1076" s="2774"/>
      <c r="G1076" s="2774"/>
      <c r="H1076" s="2483"/>
      <c r="I1076" s="2484"/>
      <c r="J1076" s="2484"/>
      <c r="K1076" s="2484"/>
      <c r="L1076" s="2485"/>
      <c r="M1076" s="2485"/>
      <c r="N1076" s="2485"/>
      <c r="O1076" s="2485"/>
      <c r="P1076" s="2485"/>
      <c r="Q1076" s="2485"/>
    </row>
    <row r="1077" spans="1:17" ht="14.25">
      <c r="A1077" s="2482">
        <f>'Part VII-Threshold Criteria'!A234</f>
        <v>0</v>
      </c>
      <c r="B1077" s="2482"/>
      <c r="C1077" s="2482"/>
      <c r="D1077" s="2482"/>
      <c r="E1077" s="2482"/>
      <c r="F1077" s="2482"/>
      <c r="G1077" s="2482"/>
      <c r="H1077" s="2482"/>
      <c r="I1077" s="2482"/>
      <c r="J1077" s="2482"/>
      <c r="K1077" s="2482"/>
      <c r="L1077" s="2482"/>
      <c r="M1077" s="2482"/>
      <c r="N1077" s="2482"/>
      <c r="O1077" s="2482"/>
      <c r="P1077" s="2482"/>
      <c r="Q1077" s="2482"/>
    </row>
    <row r="1078" spans="1:17" ht="14.25">
      <c r="A1078" s="2482"/>
      <c r="B1078" s="2773" t="s">
        <v>1725</v>
      </c>
      <c r="C1078" s="2773"/>
      <c r="D1078" s="2483"/>
      <c r="E1078" s="2483"/>
      <c r="F1078" s="2483"/>
      <c r="G1078" s="2483"/>
      <c r="H1078" s="2483"/>
      <c r="I1078" s="2483"/>
      <c r="J1078" s="2483"/>
      <c r="K1078" s="2483"/>
      <c r="L1078" s="2483"/>
      <c r="M1078" s="2483"/>
      <c r="N1078" s="2483"/>
      <c r="O1078" s="2483"/>
      <c r="P1078" s="2483"/>
      <c r="Q1078" s="2483"/>
    </row>
    <row r="1079" spans="1:17" ht="14.25">
      <c r="A1079" s="2482"/>
      <c r="B1079" s="2482"/>
      <c r="C1079" s="2482"/>
      <c r="D1079" s="2482"/>
      <c r="E1079" s="2482"/>
      <c r="F1079" s="2482"/>
      <c r="G1079" s="2482"/>
      <c r="H1079" s="2482"/>
      <c r="I1079" s="2482"/>
      <c r="J1079" s="2482"/>
      <c r="K1079" s="2482"/>
      <c r="L1079" s="2482"/>
      <c r="M1079" s="2482"/>
      <c r="N1079" s="2482"/>
      <c r="O1079" s="2482"/>
      <c r="P1079" s="2482"/>
      <c r="Q1079" s="2482"/>
    </row>
    <row r="1080" spans="1:17" ht="15">
      <c r="A1080" s="2485"/>
      <c r="B1080" s="2484"/>
      <c r="C1080" s="2483"/>
      <c r="D1080" s="2483"/>
      <c r="E1080" s="2483"/>
      <c r="F1080" s="2483"/>
      <c r="G1080" s="2483"/>
      <c r="H1080" s="2483"/>
      <c r="I1080" s="2483"/>
      <c r="J1080" s="2483"/>
      <c r="K1080" s="2483"/>
      <c r="L1080" s="2483"/>
      <c r="M1080" s="2483"/>
      <c r="N1080" s="2483"/>
      <c r="O1080" s="2483"/>
      <c r="P1080" s="2483"/>
      <c r="Q1080" s="2485"/>
    </row>
    <row r="1081" spans="1:17" ht="15">
      <c r="A1081" s="2771"/>
      <c r="B1081" s="2484"/>
      <c r="C1081" s="2483"/>
      <c r="D1081" s="2483"/>
      <c r="E1081" s="2483"/>
      <c r="F1081" s="2483"/>
      <c r="G1081" s="2483"/>
      <c r="H1081" s="2483"/>
      <c r="I1081" s="2483"/>
      <c r="J1081" s="2483"/>
      <c r="K1081" s="2483"/>
      <c r="L1081" s="2483"/>
      <c r="M1081" s="2483"/>
      <c r="N1081" s="2483"/>
      <c r="O1081" s="2483"/>
      <c r="P1081" s="2483"/>
      <c r="Q1081" s="2485"/>
    </row>
    <row r="1082" spans="1:17" ht="15">
      <c r="A1082" s="2771" t="s">
        <v>3286</v>
      </c>
      <c r="B1082" s="2487" t="s">
        <v>3271</v>
      </c>
      <c r="C1082" s="2487"/>
      <c r="D1082" s="2487"/>
      <c r="E1082" s="2487"/>
      <c r="F1082" s="2487"/>
      <c r="G1082" s="2487"/>
      <c r="H1082" s="2483"/>
      <c r="I1082" s="2483"/>
      <c r="J1082" s="2483"/>
      <c r="K1082" s="2483"/>
      <c r="L1082" s="2483"/>
      <c r="M1082" s="2483"/>
      <c r="N1082" s="2772"/>
      <c r="O1082" s="2772" t="s">
        <v>1726</v>
      </c>
      <c r="P1082" s="2487"/>
      <c r="Q1082" s="2487"/>
    </row>
    <row r="1083" spans="1:17" ht="15">
      <c r="A1083" s="2772"/>
      <c r="B1083" s="2482" t="s">
        <v>3272</v>
      </c>
      <c r="C1083" s="2482"/>
      <c r="D1083" s="2482"/>
      <c r="E1083" s="2482"/>
      <c r="F1083" s="2482"/>
      <c r="G1083" s="2487">
        <f>'Part VII-Threshold Criteria'!G240</f>
        <v>0</v>
      </c>
      <c r="H1083" s="2487"/>
      <c r="I1083" s="2487"/>
      <c r="J1083" s="2487"/>
      <c r="K1083" s="2487"/>
      <c r="L1083" s="2487"/>
      <c r="M1083" s="2487"/>
      <c r="N1083" s="2487"/>
      <c r="O1083" s="2487"/>
      <c r="P1083" s="2487"/>
      <c r="Q1083" s="2487"/>
    </row>
    <row r="1084" spans="1:17" ht="15">
      <c r="A1084" s="2772"/>
      <c r="B1084" s="2482" t="s">
        <v>3273</v>
      </c>
      <c r="C1084" s="2482"/>
      <c r="D1084" s="2482"/>
      <c r="E1084" s="2482"/>
      <c r="F1084" s="2482"/>
      <c r="G1084" s="2487">
        <f>'Part VII-Threshold Criteria'!G241</f>
        <v>0</v>
      </c>
      <c r="H1084" s="2487"/>
      <c r="I1084" s="2487"/>
      <c r="J1084" s="2487"/>
      <c r="K1084" s="2487"/>
      <c r="L1084" s="2487"/>
      <c r="M1084" s="2487"/>
      <c r="N1084" s="2487"/>
      <c r="O1084" s="2487"/>
      <c r="P1084" s="2487"/>
      <c r="Q1084" s="2487"/>
    </row>
    <row r="1085" spans="1:17" ht="14.45" customHeight="1">
      <c r="A1085" s="2772"/>
      <c r="B1085" s="2770" t="s">
        <v>5007</v>
      </c>
      <c r="C1085" s="2770"/>
      <c r="D1085" s="2770"/>
      <c r="E1085" s="2770"/>
      <c r="F1085" s="2770"/>
      <c r="G1085" s="2770"/>
      <c r="H1085" s="2770"/>
      <c r="I1085" s="2770"/>
      <c r="J1085" s="2770"/>
      <c r="K1085" s="2770"/>
      <c r="L1085" s="2770"/>
      <c r="M1085" s="2770"/>
      <c r="N1085" s="2770"/>
      <c r="O1085" s="2770"/>
      <c r="P1085" s="2780">
        <f>'Part VII-Threshold Criteria'!P242</f>
        <v>0</v>
      </c>
      <c r="Q1085" s="2780"/>
    </row>
    <row r="1086" spans="1:17" ht="15">
      <c r="A1086" s="2482"/>
      <c r="B1086" s="2774" t="s">
        <v>3157</v>
      </c>
      <c r="C1086" s="2482"/>
      <c r="D1086" s="2774"/>
      <c r="E1086" s="2774"/>
      <c r="F1086" s="2774"/>
      <c r="G1086" s="2774"/>
      <c r="H1086" s="2483"/>
      <c r="I1086" s="2484"/>
      <c r="J1086" s="2484"/>
      <c r="K1086" s="2484"/>
      <c r="L1086" s="2485"/>
      <c r="M1086" s="2485"/>
      <c r="N1086" s="2485"/>
      <c r="O1086" s="2485"/>
      <c r="P1086" s="2485"/>
      <c r="Q1086" s="2485"/>
    </row>
    <row r="1087" spans="1:17" ht="14.25">
      <c r="A1087" s="2482">
        <f>'Part VII-Threshold Criteria'!A244</f>
        <v>0</v>
      </c>
      <c r="B1087" s="2482"/>
      <c r="C1087" s="2482"/>
      <c r="D1087" s="2482"/>
      <c r="E1087" s="2482"/>
      <c r="F1087" s="2482"/>
      <c r="G1087" s="2482"/>
      <c r="H1087" s="2482"/>
      <c r="I1087" s="2482"/>
      <c r="J1087" s="2482"/>
      <c r="K1087" s="2482"/>
      <c r="L1087" s="2482"/>
      <c r="M1087" s="2482"/>
      <c r="N1087" s="2482"/>
      <c r="O1087" s="2482"/>
      <c r="P1087" s="2482"/>
      <c r="Q1087" s="2482"/>
    </row>
    <row r="1088" spans="1:17" ht="14.25">
      <c r="A1088" s="2482"/>
      <c r="B1088" s="2773" t="s">
        <v>1725</v>
      </c>
      <c r="C1088" s="2773"/>
      <c r="D1088" s="2483"/>
      <c r="E1088" s="2483"/>
      <c r="F1088" s="2483"/>
      <c r="G1088" s="2483"/>
      <c r="H1088" s="2483"/>
      <c r="I1088" s="2483"/>
      <c r="J1088" s="2483"/>
      <c r="K1088" s="2483"/>
      <c r="L1088" s="2483"/>
      <c r="M1088" s="2483"/>
      <c r="N1088" s="2483"/>
      <c r="O1088" s="2483"/>
      <c r="P1088" s="2483"/>
      <c r="Q1088" s="2483"/>
    </row>
    <row r="1089" spans="1:17" ht="14.25">
      <c r="A1089" s="2482"/>
      <c r="B1089" s="2482"/>
      <c r="C1089" s="2482"/>
      <c r="D1089" s="2482"/>
      <c r="E1089" s="2482"/>
      <c r="F1089" s="2482"/>
      <c r="G1089" s="2482"/>
      <c r="H1089" s="2482"/>
      <c r="I1089" s="2482"/>
      <c r="J1089" s="2482"/>
      <c r="K1089" s="2482"/>
      <c r="L1089" s="2482"/>
      <c r="M1089" s="2482"/>
      <c r="N1089" s="2482"/>
      <c r="O1089" s="2482"/>
      <c r="P1089" s="2482"/>
      <c r="Q1089" s="2482"/>
    </row>
    <row r="1090" spans="1:17" ht="15">
      <c r="A1090" s="2485"/>
      <c r="B1090" s="2484"/>
      <c r="C1090" s="2483"/>
      <c r="D1090" s="2483"/>
      <c r="E1090" s="2483"/>
      <c r="F1090" s="2483"/>
      <c r="G1090" s="2483"/>
      <c r="H1090" s="2483"/>
      <c r="I1090" s="2483"/>
      <c r="J1090" s="2483"/>
      <c r="K1090" s="2483"/>
      <c r="L1090" s="2483"/>
      <c r="M1090" s="2483"/>
      <c r="N1090" s="2482"/>
      <c r="O1090" s="2482"/>
      <c r="P1090" s="2482"/>
      <c r="Q1090" s="2485"/>
    </row>
    <row r="1091" spans="1:17" ht="15">
      <c r="A1091" s="2482"/>
      <c r="B1091" s="2484"/>
      <c r="C1091" s="2483"/>
      <c r="D1091" s="2483"/>
      <c r="E1091" s="2483"/>
      <c r="F1091" s="2483"/>
      <c r="G1091" s="2483"/>
      <c r="H1091" s="2483"/>
      <c r="I1091" s="2483"/>
      <c r="J1091" s="2483"/>
      <c r="K1091" s="2483"/>
      <c r="L1091" s="2483"/>
      <c r="M1091" s="2483"/>
      <c r="N1091" s="2482"/>
      <c r="O1091" s="2482"/>
      <c r="P1091" s="2482"/>
      <c r="Q1091" s="2485"/>
    </row>
    <row r="1092" spans="1:17" ht="15">
      <c r="A1092" s="2771" t="s">
        <v>3289</v>
      </c>
      <c r="B1092" s="2487" t="s">
        <v>2428</v>
      </c>
      <c r="C1092" s="2487"/>
      <c r="D1092" s="2487"/>
      <c r="E1092" s="2483"/>
      <c r="F1092" s="2482"/>
      <c r="G1092" s="2482" t="s">
        <v>654</v>
      </c>
      <c r="H1092" s="2483"/>
      <c r="I1092" s="2483"/>
      <c r="J1092" s="2483"/>
      <c r="K1092" s="2483"/>
      <c r="L1092" s="2483"/>
      <c r="M1092" s="2483"/>
      <c r="N1092" s="2482"/>
      <c r="O1092" s="2772" t="s">
        <v>1726</v>
      </c>
      <c r="P1092" s="2487"/>
      <c r="Q1092" s="2487"/>
    </row>
    <row r="1093" spans="1:17" ht="15">
      <c r="A1093" s="2772"/>
      <c r="B1093" s="2482" t="s">
        <v>2431</v>
      </c>
      <c r="C1093" s="2482"/>
      <c r="D1093" s="2482"/>
      <c r="E1093" s="2482"/>
      <c r="F1093" s="2482"/>
      <c r="G1093" s="2482"/>
      <c r="H1093" s="2482"/>
      <c r="I1093" s="2482"/>
      <c r="J1093" s="2482"/>
      <c r="K1093" s="2482"/>
      <c r="L1093" s="2482"/>
      <c r="M1093" s="2482"/>
      <c r="N1093" s="2482"/>
      <c r="O1093" s="2777"/>
      <c r="P1093" s="2487">
        <f>'Part VII-Threshold Criteria'!P250</f>
        <v>0</v>
      </c>
      <c r="Q1093" s="2487"/>
    </row>
    <row r="1094" spans="1:17" ht="15">
      <c r="A1094" s="2772"/>
      <c r="B1094" s="2482" t="s">
        <v>3058</v>
      </c>
      <c r="C1094" s="2482"/>
      <c r="D1094" s="2482"/>
      <c r="E1094" s="2482"/>
      <c r="F1094" s="2482"/>
      <c r="G1094" s="2482"/>
      <c r="H1094" s="2482"/>
      <c r="I1094" s="2482"/>
      <c r="J1094" s="2482"/>
      <c r="K1094" s="2482"/>
      <c r="L1094" s="2482"/>
      <c r="M1094" s="2482"/>
      <c r="N1094" s="2482"/>
      <c r="O1094" s="2777"/>
      <c r="P1094" s="2487">
        <f>'Part VII-Threshold Criteria'!P251</f>
        <v>0</v>
      </c>
      <c r="Q1094" s="2487"/>
    </row>
    <row r="1095" spans="1:17" ht="15">
      <c r="A1095" s="2772"/>
      <c r="B1095" s="2482" t="s">
        <v>689</v>
      </c>
      <c r="C1095" s="2482"/>
      <c r="D1095" s="2482">
        <f>'Part VII-Threshold Criteria'!D252</f>
        <v>0</v>
      </c>
      <c r="E1095" s="2482"/>
      <c r="F1095" s="2482"/>
      <c r="G1095" s="2482"/>
      <c r="H1095" s="2482"/>
      <c r="I1095" s="2482"/>
      <c r="J1095" s="2482"/>
      <c r="K1095" s="2482"/>
      <c r="L1095" s="2482"/>
      <c r="M1095" s="2482"/>
      <c r="N1095" s="2482"/>
      <c r="O1095" s="2482"/>
      <c r="P1095" s="2482"/>
      <c r="Q1095" s="2482"/>
    </row>
    <row r="1096" spans="1:17" ht="15">
      <c r="A1096" s="2482"/>
      <c r="B1096" s="2774" t="s">
        <v>3157</v>
      </c>
      <c r="C1096" s="2482"/>
      <c r="D1096" s="2774"/>
      <c r="E1096" s="2774"/>
      <c r="F1096" s="2774"/>
      <c r="G1096" s="2774"/>
      <c r="H1096" s="2483"/>
      <c r="I1096" s="2484"/>
      <c r="J1096" s="2484"/>
      <c r="K1096" s="2484"/>
      <c r="L1096" s="2485"/>
      <c r="M1096" s="2485"/>
      <c r="N1096" s="2485"/>
      <c r="O1096" s="2485"/>
      <c r="P1096" s="2485"/>
      <c r="Q1096" s="2485"/>
    </row>
    <row r="1097" spans="1:17" ht="14.25">
      <c r="A1097" s="2482">
        <f>'Part VII-Threshold Criteria'!A254</f>
        <v>0</v>
      </c>
      <c r="B1097" s="2482"/>
      <c r="C1097" s="2482"/>
      <c r="D1097" s="2482"/>
      <c r="E1097" s="2482"/>
      <c r="F1097" s="2482"/>
      <c r="G1097" s="2482"/>
      <c r="H1097" s="2482"/>
      <c r="I1097" s="2482"/>
      <c r="J1097" s="2482"/>
      <c r="K1097" s="2482"/>
      <c r="L1097" s="2482"/>
      <c r="M1097" s="2482"/>
      <c r="N1097" s="2482"/>
      <c r="O1097" s="2482"/>
      <c r="P1097" s="2482"/>
      <c r="Q1097" s="2482"/>
    </row>
    <row r="1098" spans="1:17" ht="14.25">
      <c r="A1098" s="2482"/>
      <c r="B1098" s="2773" t="s">
        <v>1725</v>
      </c>
      <c r="C1098" s="2773"/>
      <c r="D1098" s="2483"/>
      <c r="E1098" s="2483"/>
      <c r="F1098" s="2483"/>
      <c r="G1098" s="2483"/>
      <c r="H1098" s="2483"/>
      <c r="I1098" s="2483"/>
      <c r="J1098" s="2483"/>
      <c r="K1098" s="2483"/>
      <c r="L1098" s="2483"/>
      <c r="M1098" s="2483"/>
      <c r="N1098" s="2483"/>
      <c r="O1098" s="2483"/>
      <c r="P1098" s="2483"/>
      <c r="Q1098" s="2483"/>
    </row>
    <row r="1099" spans="1:17" ht="14.25">
      <c r="A1099" s="2482"/>
      <c r="B1099" s="2482"/>
      <c r="C1099" s="2482"/>
      <c r="D1099" s="2482"/>
      <c r="E1099" s="2482"/>
      <c r="F1099" s="2482"/>
      <c r="G1099" s="2482"/>
      <c r="H1099" s="2482"/>
      <c r="I1099" s="2482"/>
      <c r="J1099" s="2482"/>
      <c r="K1099" s="2482"/>
      <c r="L1099" s="2482"/>
      <c r="M1099" s="2482"/>
      <c r="N1099" s="2482"/>
      <c r="O1099" s="2482"/>
      <c r="P1099" s="2482"/>
      <c r="Q1099" s="2482"/>
    </row>
    <row r="1100" spans="1:17" ht="15">
      <c r="A1100" s="2485"/>
      <c r="B1100" s="2484"/>
      <c r="C1100" s="2483"/>
      <c r="D1100" s="2483"/>
      <c r="E1100" s="2483"/>
      <c r="F1100" s="2483"/>
      <c r="G1100" s="2483"/>
      <c r="H1100" s="2483"/>
      <c r="I1100" s="2483"/>
      <c r="J1100" s="2483"/>
      <c r="K1100" s="2483"/>
      <c r="L1100" s="2483"/>
      <c r="M1100" s="2483"/>
      <c r="N1100" s="2483"/>
      <c r="O1100" s="2483"/>
      <c r="P1100" s="2483"/>
      <c r="Q1100" s="2485"/>
    </row>
    <row r="1101" spans="1:17" ht="15">
      <c r="A1101" s="2482"/>
      <c r="B1101" s="2484"/>
      <c r="C1101" s="2483"/>
      <c r="D1101" s="2483"/>
      <c r="E1101" s="2483"/>
      <c r="F1101" s="2483"/>
      <c r="G1101" s="2483"/>
      <c r="H1101" s="2483"/>
      <c r="I1101" s="2483"/>
      <c r="J1101" s="2483"/>
      <c r="K1101" s="2483"/>
      <c r="L1101" s="2483"/>
      <c r="M1101" s="2483"/>
      <c r="N1101" s="2483"/>
      <c r="O1101" s="2483"/>
      <c r="P1101" s="2483"/>
      <c r="Q1101" s="2485"/>
    </row>
    <row r="1102" spans="1:17" ht="15">
      <c r="A1102" s="2771" t="s">
        <v>3290</v>
      </c>
      <c r="B1102" s="2487" t="s">
        <v>3815</v>
      </c>
      <c r="C1102" s="2487"/>
      <c r="D1102" s="2487"/>
      <c r="E1102" s="2487"/>
      <c r="F1102" s="2487"/>
      <c r="G1102" s="2487"/>
      <c r="H1102" s="2483"/>
      <c r="I1102" s="2483"/>
      <c r="J1102" s="2483"/>
      <c r="K1102" s="2483"/>
      <c r="L1102" s="2483"/>
      <c r="M1102" s="2483"/>
      <c r="N1102" s="2482"/>
      <c r="O1102" s="2772" t="s">
        <v>1726</v>
      </c>
      <c r="P1102" s="2487"/>
      <c r="Q1102" s="2487"/>
    </row>
    <row r="1103" spans="1:17" ht="15">
      <c r="A1103" s="2482"/>
      <c r="B1103" s="2482" t="s">
        <v>4149</v>
      </c>
      <c r="C1103" s="2482"/>
      <c r="D1103" s="2482"/>
      <c r="E1103" s="2482"/>
      <c r="F1103" s="2482"/>
      <c r="G1103" s="2482"/>
      <c r="H1103" s="2482"/>
      <c r="I1103" s="2482"/>
      <c r="J1103" s="2482"/>
      <c r="K1103" s="2482"/>
      <c r="L1103" s="2482"/>
      <c r="M1103" s="2482"/>
      <c r="N1103" s="2482"/>
      <c r="O1103" s="2777"/>
      <c r="P1103" s="2487">
        <f>'Part VII-Threshold Criteria'!P260</f>
        <v>0</v>
      </c>
      <c r="Q1103" s="2487"/>
    </row>
    <row r="1104" spans="1:17" ht="15">
      <c r="A1104" s="2772"/>
      <c r="B1104" s="2482" t="s">
        <v>700</v>
      </c>
      <c r="C1104" s="2482"/>
      <c r="D1104" s="2482"/>
      <c r="E1104" s="2482"/>
      <c r="F1104" s="2482"/>
      <c r="G1104" s="2482"/>
      <c r="H1104" s="2482"/>
      <c r="I1104" s="2482"/>
      <c r="J1104" s="2482"/>
      <c r="K1104" s="2482"/>
      <c r="L1104" s="2482"/>
      <c r="M1104" s="2482"/>
      <c r="N1104" s="2482"/>
      <c r="O1104" s="2482"/>
      <c r="P1104" s="2487">
        <f>'Part VII-Threshold Criteria'!P261</f>
        <v>0</v>
      </c>
      <c r="Q1104" s="2487"/>
    </row>
    <row r="1105" spans="1:17" ht="15">
      <c r="A1105" s="2482"/>
      <c r="B1105" s="2482" t="s">
        <v>4817</v>
      </c>
      <c r="C1105" s="2482"/>
      <c r="D1105" s="2482"/>
      <c r="E1105" s="2482"/>
      <c r="F1105" s="2482"/>
      <c r="G1105" s="2482"/>
      <c r="H1105" s="2482"/>
      <c r="I1105" s="2482"/>
      <c r="J1105" s="2482"/>
      <c r="K1105" s="2482"/>
      <c r="L1105" s="2482"/>
      <c r="M1105" s="2482"/>
      <c r="N1105" s="2482"/>
      <c r="O1105" s="2482"/>
      <c r="P1105" s="2487">
        <f>'Part VII-Threshold Criteria'!P262</f>
        <v>0</v>
      </c>
      <c r="Q1105" s="2487"/>
    </row>
    <row r="1106" spans="1:17" ht="14.1" customHeight="1">
      <c r="A1106" s="2772"/>
      <c r="B1106" s="2482" t="s">
        <v>4816</v>
      </c>
      <c r="C1106" s="2482"/>
      <c r="D1106" s="2482"/>
      <c r="E1106" s="2482"/>
      <c r="F1106" s="2482"/>
      <c r="G1106" s="2482"/>
      <c r="H1106" s="2482"/>
      <c r="I1106" s="2482"/>
      <c r="J1106" s="2482"/>
      <c r="K1106" s="2482"/>
      <c r="L1106" s="2482"/>
      <c r="M1106" s="2482"/>
      <c r="N1106" s="2482"/>
      <c r="O1106" s="2482"/>
      <c r="P1106" s="2487">
        <f>'Part VII-Threshold Criteria'!P263</f>
        <v>0</v>
      </c>
      <c r="Q1106" s="2487"/>
    </row>
    <row r="1107" spans="1:17" ht="14.25">
      <c r="A1107" s="2482"/>
      <c r="B1107" s="2774" t="s">
        <v>3157</v>
      </c>
      <c r="C1107" s="2482"/>
      <c r="D1107" s="2774"/>
      <c r="E1107" s="2774"/>
      <c r="F1107" s="2774"/>
      <c r="G1107" s="2774"/>
      <c r="H1107" s="2483"/>
      <c r="I1107" s="2484"/>
      <c r="J1107" s="2484"/>
      <c r="K1107" s="2484"/>
      <c r="L1107" s="2482"/>
      <c r="M1107" s="2482"/>
      <c r="N1107" s="2482"/>
      <c r="O1107" s="2482"/>
      <c r="P1107" s="2482"/>
      <c r="Q1107" s="2482"/>
    </row>
    <row r="1108" spans="1:17" ht="14.25">
      <c r="A1108" s="2482">
        <f>'Part VII-Threshold Criteria'!A265</f>
        <v>0</v>
      </c>
      <c r="B1108" s="2482"/>
      <c r="C1108" s="2482"/>
      <c r="D1108" s="2482"/>
      <c r="E1108" s="2482"/>
      <c r="F1108" s="2482"/>
      <c r="G1108" s="2482"/>
      <c r="H1108" s="2482"/>
      <c r="I1108" s="2482"/>
      <c r="J1108" s="2482"/>
      <c r="K1108" s="2482"/>
      <c r="L1108" s="2482"/>
      <c r="M1108" s="2482"/>
      <c r="N1108" s="2482"/>
      <c r="O1108" s="2482"/>
      <c r="P1108" s="2482"/>
      <c r="Q1108" s="2482"/>
    </row>
    <row r="1109" spans="1:17" ht="14.25">
      <c r="A1109" s="2482"/>
      <c r="B1109" s="2773" t="s">
        <v>1725</v>
      </c>
      <c r="C1109" s="2773"/>
      <c r="D1109" s="2483"/>
      <c r="E1109" s="2483"/>
      <c r="F1109" s="2483"/>
      <c r="G1109" s="2483"/>
      <c r="H1109" s="2483"/>
      <c r="I1109" s="2483"/>
      <c r="J1109" s="2483"/>
      <c r="K1109" s="2483"/>
      <c r="L1109" s="2483"/>
      <c r="M1109" s="2483"/>
      <c r="N1109" s="2483"/>
      <c r="O1109" s="2483"/>
      <c r="P1109" s="2483"/>
      <c r="Q1109" s="2483"/>
    </row>
    <row r="1110" spans="1:17" ht="14.25">
      <c r="A1110" s="2482"/>
      <c r="B1110" s="2482"/>
      <c r="C1110" s="2482"/>
      <c r="D1110" s="2482"/>
      <c r="E1110" s="2482"/>
      <c r="F1110" s="2482"/>
      <c r="G1110" s="2482"/>
      <c r="H1110" s="2482"/>
      <c r="I1110" s="2482"/>
      <c r="J1110" s="2482"/>
      <c r="K1110" s="2482"/>
      <c r="L1110" s="2482"/>
      <c r="M1110" s="2482"/>
      <c r="N1110" s="2482"/>
      <c r="O1110" s="2482"/>
      <c r="P1110" s="2482"/>
      <c r="Q1110" s="2482"/>
    </row>
    <row r="1111" spans="1:17" ht="15">
      <c r="A1111" s="2485"/>
      <c r="B1111" s="2484"/>
      <c r="C1111" s="2483"/>
      <c r="D1111" s="2483"/>
      <c r="E1111" s="2483"/>
      <c r="F1111" s="2483"/>
      <c r="G1111" s="2483"/>
      <c r="H1111" s="2483"/>
      <c r="I1111" s="2483"/>
      <c r="J1111" s="2483"/>
      <c r="K1111" s="2483"/>
      <c r="L1111" s="2483"/>
      <c r="M1111" s="2483"/>
      <c r="N1111" s="2482"/>
      <c r="O1111" s="2482"/>
      <c r="P1111" s="2482"/>
      <c r="Q1111" s="2485"/>
    </row>
    <row r="1112" spans="1:17" ht="15">
      <c r="A1112" s="2482"/>
      <c r="B1112" s="2484"/>
      <c r="C1112" s="2483"/>
      <c r="D1112" s="2483"/>
      <c r="E1112" s="2483"/>
      <c r="F1112" s="2483"/>
      <c r="G1112" s="2483"/>
      <c r="H1112" s="2483"/>
      <c r="I1112" s="2483"/>
      <c r="J1112" s="2483"/>
      <c r="K1112" s="2483"/>
      <c r="L1112" s="2483"/>
      <c r="M1112" s="2483"/>
      <c r="N1112" s="2482"/>
      <c r="O1112" s="2482"/>
      <c r="P1112" s="2482"/>
      <c r="Q1112" s="2485"/>
    </row>
    <row r="1113" spans="1:17" ht="15">
      <c r="A1113" s="2771" t="s">
        <v>3291</v>
      </c>
      <c r="B1113" s="2487" t="s">
        <v>2501</v>
      </c>
      <c r="C1113" s="2487"/>
      <c r="D1113" s="2487"/>
      <c r="E1113" s="2483"/>
      <c r="F1113" s="2483"/>
      <c r="G1113" s="2483"/>
      <c r="H1113" s="2483"/>
      <c r="I1113" s="2482"/>
      <c r="J1113" s="2482"/>
      <c r="K1113" s="2482"/>
      <c r="L1113" s="2482"/>
      <c r="M1113" s="2482"/>
      <c r="N1113" s="2482"/>
      <c r="O1113" s="2772" t="s">
        <v>1726</v>
      </c>
      <c r="P1113" s="2487"/>
      <c r="Q1113" s="2487"/>
    </row>
    <row r="1114" spans="1:17" ht="14.1" customHeight="1">
      <c r="A1114" s="2482"/>
      <c r="B1114" s="2482" t="s">
        <v>5018</v>
      </c>
      <c r="C1114" s="2482"/>
      <c r="D1114" s="2482"/>
      <c r="E1114" s="2482"/>
      <c r="F1114" s="2482"/>
      <c r="G1114" s="2482"/>
      <c r="H1114" s="2482"/>
      <c r="I1114" s="2482"/>
      <c r="J1114" s="2482"/>
      <c r="K1114" s="2482"/>
      <c r="L1114" s="2482"/>
      <c r="M1114" s="2482"/>
      <c r="N1114" s="2482"/>
      <c r="O1114" s="2487"/>
      <c r="P1114" s="2487">
        <f>'Part VII-Threshold Criteria'!P271</f>
        <v>0</v>
      </c>
      <c r="Q1114" s="2487"/>
    </row>
    <row r="1115" spans="1:17" ht="14.1" customHeight="1">
      <c r="A1115" s="2512"/>
      <c r="B1115" s="2770" t="s">
        <v>4692</v>
      </c>
      <c r="C1115" s="2770"/>
      <c r="D1115" s="2770"/>
      <c r="E1115" s="2770"/>
      <c r="F1115" s="2770"/>
      <c r="G1115" s="2770"/>
      <c r="H1115" s="2770"/>
      <c r="I1115" s="2770"/>
      <c r="J1115" s="2770"/>
      <c r="K1115" s="2770"/>
      <c r="L1115" s="2770"/>
      <c r="M1115" s="2770"/>
      <c r="N1115" s="2770"/>
      <c r="O1115" s="2770"/>
      <c r="P1115" s="2487">
        <f>'Part VII-Threshold Criteria'!P272</f>
        <v>0</v>
      </c>
      <c r="Q1115" s="2487"/>
    </row>
    <row r="1116" spans="1:17" ht="15">
      <c r="A1116" s="2482"/>
      <c r="B1116" s="2774" t="s">
        <v>3157</v>
      </c>
      <c r="C1116" s="2482"/>
      <c r="D1116" s="2774"/>
      <c r="E1116" s="2774"/>
      <c r="F1116" s="2774"/>
      <c r="G1116" s="2774"/>
      <c r="H1116" s="2483"/>
      <c r="I1116" s="2484"/>
      <c r="J1116" s="2484"/>
      <c r="K1116" s="2484"/>
      <c r="L1116" s="2485"/>
      <c r="M1116" s="2485"/>
      <c r="N1116" s="2485"/>
      <c r="O1116" s="2485"/>
      <c r="P1116" s="2485"/>
      <c r="Q1116" s="2485"/>
    </row>
    <row r="1117" spans="1:17" ht="14.25">
      <c r="A1117" s="2482">
        <f>'Part VII-Threshold Criteria'!A274</f>
        <v>0</v>
      </c>
      <c r="B1117" s="2482"/>
      <c r="C1117" s="2482"/>
      <c r="D1117" s="2482"/>
      <c r="E1117" s="2482"/>
      <c r="F1117" s="2482"/>
      <c r="G1117" s="2482"/>
      <c r="H1117" s="2482"/>
      <c r="I1117" s="2482"/>
      <c r="J1117" s="2482"/>
      <c r="K1117" s="2482"/>
      <c r="L1117" s="2482"/>
      <c r="M1117" s="2482"/>
      <c r="N1117" s="2482"/>
      <c r="O1117" s="2482"/>
      <c r="P1117" s="2482"/>
      <c r="Q1117" s="2482"/>
    </row>
    <row r="1118" spans="1:17" ht="14.25">
      <c r="A1118" s="2482"/>
      <c r="B1118" s="2773" t="s">
        <v>1725</v>
      </c>
      <c r="C1118" s="2773"/>
      <c r="D1118" s="2483"/>
      <c r="E1118" s="2483"/>
      <c r="F1118" s="2483"/>
      <c r="G1118" s="2483"/>
      <c r="H1118" s="2483"/>
      <c r="I1118" s="2483"/>
      <c r="J1118" s="2483"/>
      <c r="K1118" s="2483"/>
      <c r="L1118" s="2483"/>
      <c r="M1118" s="2483"/>
      <c r="N1118" s="2483"/>
      <c r="O1118" s="2483"/>
      <c r="P1118" s="2483"/>
      <c r="Q1118" s="2483"/>
    </row>
    <row r="1119" spans="1:17" ht="14.25">
      <c r="A1119" s="2482"/>
      <c r="B1119" s="2482"/>
      <c r="C1119" s="2482"/>
      <c r="D1119" s="2482"/>
      <c r="E1119" s="2482"/>
      <c r="F1119" s="2482"/>
      <c r="G1119" s="2482"/>
      <c r="H1119" s="2482"/>
      <c r="I1119" s="2482"/>
      <c r="J1119" s="2482"/>
      <c r="K1119" s="2482"/>
      <c r="L1119" s="2482"/>
      <c r="M1119" s="2482"/>
      <c r="N1119" s="2482"/>
      <c r="O1119" s="2482"/>
      <c r="P1119" s="2482"/>
      <c r="Q1119" s="2482"/>
    </row>
    <row r="1120" spans="1:17" ht="15">
      <c r="A1120" s="2485"/>
      <c r="B1120" s="2484"/>
      <c r="C1120" s="2483"/>
      <c r="D1120" s="2483"/>
      <c r="E1120" s="2483"/>
      <c r="F1120" s="2483"/>
      <c r="G1120" s="2483"/>
      <c r="H1120" s="2483"/>
      <c r="I1120" s="2483"/>
      <c r="J1120" s="2483"/>
      <c r="K1120" s="2483"/>
      <c r="L1120" s="2483"/>
      <c r="M1120" s="2483"/>
      <c r="N1120" s="2482"/>
      <c r="O1120" s="2482"/>
      <c r="P1120" s="2482"/>
      <c r="Q1120" s="2485"/>
    </row>
    <row r="1121" spans="1:17" ht="15">
      <c r="A1121" s="2485"/>
      <c r="B1121" s="2484"/>
      <c r="C1121" s="2483"/>
      <c r="D1121" s="2483"/>
      <c r="E1121" s="2483"/>
      <c r="F1121" s="2483"/>
      <c r="G1121" s="2483"/>
      <c r="H1121" s="2483"/>
      <c r="I1121" s="2483"/>
      <c r="J1121" s="2483"/>
      <c r="K1121" s="2483"/>
      <c r="L1121" s="2483"/>
      <c r="M1121" s="2483"/>
      <c r="N1121" s="2482"/>
      <c r="O1121" s="2482"/>
      <c r="P1121" s="2482"/>
      <c r="Q1121" s="2485"/>
    </row>
    <row r="1122" spans="1:17" ht="15">
      <c r="A1122" s="2771" t="s">
        <v>3292</v>
      </c>
      <c r="B1122" s="2771" t="s">
        <v>4818</v>
      </c>
      <c r="C1122" s="2483"/>
      <c r="D1122" s="2483"/>
      <c r="E1122" s="2483"/>
      <c r="F1122" s="2483"/>
      <c r="G1122" s="2483"/>
      <c r="H1122" s="2483"/>
      <c r="I1122" s="2483"/>
      <c r="J1122" s="2483"/>
      <c r="K1122" s="2483"/>
      <c r="L1122" s="2483"/>
      <c r="M1122" s="2483"/>
      <c r="N1122" s="2482"/>
      <c r="O1122" s="2772" t="s">
        <v>1726</v>
      </c>
      <c r="P1122" s="2487"/>
      <c r="Q1122" s="2487"/>
    </row>
    <row r="1123" spans="1:17" ht="15">
      <c r="A1123" s="2512" t="s">
        <v>1836</v>
      </c>
      <c r="B1123" s="2771" t="s">
        <v>4819</v>
      </c>
      <c r="C1123" s="2771"/>
      <c r="D1123" s="2483"/>
      <c r="E1123" s="2483"/>
      <c r="F1123" s="2483"/>
      <c r="G1123" s="2483"/>
      <c r="H1123" s="2483"/>
      <c r="I1123" s="2483"/>
      <c r="J1123" s="2483"/>
      <c r="K1123" s="2483"/>
      <c r="L1123" s="2483"/>
      <c r="M1123" s="2483"/>
      <c r="N1123" s="2482"/>
      <c r="O1123" s="2482"/>
      <c r="P1123" s="2482"/>
      <c r="Q1123" s="2485"/>
    </row>
    <row r="1124" spans="1:17" ht="14.1" customHeight="1">
      <c r="A1124" s="2483"/>
      <c r="B1124" s="2770" t="s">
        <v>5008</v>
      </c>
      <c r="C1124" s="2770"/>
      <c r="D1124" s="2770"/>
      <c r="E1124" s="2770"/>
      <c r="F1124" s="2770"/>
      <c r="G1124" s="2770"/>
      <c r="H1124" s="2770"/>
      <c r="I1124" s="2770"/>
      <c r="J1124" s="2770"/>
      <c r="K1124" s="2770"/>
      <c r="L1124" s="2770"/>
      <c r="M1124" s="2770"/>
      <c r="N1124" s="2770"/>
      <c r="O1124" s="2770"/>
      <c r="P1124" s="2780">
        <f>'Part VII-Threshold Criteria'!P281</f>
        <v>0</v>
      </c>
      <c r="Q1124" s="2780"/>
    </row>
    <row r="1125" spans="1:17" ht="15">
      <c r="A1125" s="2512" t="s">
        <v>1838</v>
      </c>
      <c r="B1125" s="2771" t="s">
        <v>4820</v>
      </c>
      <c r="C1125" s="2482"/>
      <c r="D1125" s="2483"/>
      <c r="E1125" s="2483"/>
      <c r="F1125" s="2483"/>
      <c r="G1125" s="2483"/>
      <c r="H1125" s="2483"/>
      <c r="I1125" s="2483"/>
      <c r="J1125" s="2483"/>
      <c r="K1125" s="2483"/>
      <c r="L1125" s="2483"/>
      <c r="M1125" s="2483"/>
      <c r="N1125" s="2482"/>
      <c r="O1125" s="2482"/>
      <c r="P1125" s="2482"/>
      <c r="Q1125" s="2485"/>
    </row>
    <row r="1126" spans="1:17" ht="14.1" customHeight="1">
      <c r="A1126" s="2483"/>
      <c r="B1126" s="2770" t="s">
        <v>5015</v>
      </c>
      <c r="C1126" s="2770"/>
      <c r="D1126" s="2770"/>
      <c r="E1126" s="2770"/>
      <c r="F1126" s="2770"/>
      <c r="G1126" s="2770"/>
      <c r="H1126" s="2770"/>
      <c r="I1126" s="2770"/>
      <c r="J1126" s="2770"/>
      <c r="K1126" s="2770"/>
      <c r="L1126" s="2770"/>
      <c r="M1126" s="2770"/>
      <c r="N1126" s="2770"/>
      <c r="O1126" s="2770"/>
      <c r="P1126" s="2780">
        <f>'Part VII-Threshold Criteria'!P283</f>
        <v>0</v>
      </c>
      <c r="Q1126" s="2780"/>
    </row>
    <row r="1127" spans="1:17" ht="15">
      <c r="A1127" s="2771"/>
      <c r="B1127" s="2774" t="s">
        <v>3157</v>
      </c>
      <c r="C1127" s="2482"/>
      <c r="D1127" s="2774"/>
      <c r="E1127" s="2774"/>
      <c r="F1127" s="2774"/>
      <c r="G1127" s="2774"/>
      <c r="H1127" s="2483"/>
      <c r="I1127" s="2484"/>
      <c r="J1127" s="2484"/>
      <c r="K1127" s="2484"/>
      <c r="L1127" s="2485"/>
      <c r="M1127" s="2485"/>
      <c r="N1127" s="2485"/>
      <c r="O1127" s="2485"/>
      <c r="P1127" s="2485"/>
      <c r="Q1127" s="2485"/>
    </row>
    <row r="1128" spans="1:17" ht="14.25">
      <c r="A1128" s="2482">
        <f>'Part VII-Threshold Criteria'!A285</f>
        <v>0</v>
      </c>
      <c r="B1128" s="2482"/>
      <c r="C1128" s="2482"/>
      <c r="D1128" s="2482"/>
      <c r="E1128" s="2482"/>
      <c r="F1128" s="2482"/>
      <c r="G1128" s="2482"/>
      <c r="H1128" s="2482"/>
      <c r="I1128" s="2482"/>
      <c r="J1128" s="2482"/>
      <c r="K1128" s="2482"/>
      <c r="L1128" s="2482"/>
      <c r="M1128" s="2482"/>
      <c r="N1128" s="2482"/>
      <c r="O1128" s="2482"/>
      <c r="P1128" s="2482"/>
      <c r="Q1128" s="2482"/>
    </row>
    <row r="1129" spans="1:17" ht="14.25">
      <c r="A1129" s="2482"/>
      <c r="B1129" s="2773" t="s">
        <v>1725</v>
      </c>
      <c r="C1129" s="2773"/>
      <c r="D1129" s="2483"/>
      <c r="E1129" s="2483"/>
      <c r="F1129" s="2483"/>
      <c r="G1129" s="2483"/>
      <c r="H1129" s="2483"/>
      <c r="I1129" s="2483"/>
      <c r="J1129" s="2483"/>
      <c r="K1129" s="2483"/>
      <c r="L1129" s="2483"/>
      <c r="M1129" s="2483"/>
      <c r="N1129" s="2483"/>
      <c r="O1129" s="2483"/>
      <c r="P1129" s="2483"/>
      <c r="Q1129" s="2483"/>
    </row>
    <row r="1130" spans="1:17" ht="14.25">
      <c r="A1130" s="2482"/>
      <c r="B1130" s="2482"/>
      <c r="C1130" s="2482"/>
      <c r="D1130" s="2482"/>
      <c r="E1130" s="2482"/>
      <c r="F1130" s="2482"/>
      <c r="G1130" s="2482"/>
      <c r="H1130" s="2482"/>
      <c r="I1130" s="2482"/>
      <c r="J1130" s="2482"/>
      <c r="K1130" s="2482"/>
      <c r="L1130" s="2482"/>
      <c r="M1130" s="2482"/>
      <c r="N1130" s="2482"/>
      <c r="O1130" s="2482"/>
      <c r="P1130" s="2482"/>
      <c r="Q1130" s="2482"/>
    </row>
    <row r="1131" spans="1:17" ht="15">
      <c r="A1131" s="2771"/>
      <c r="B1131" s="2484"/>
      <c r="C1131" s="2483"/>
      <c r="D1131" s="2483"/>
      <c r="E1131" s="2483"/>
      <c r="F1131" s="2483"/>
      <c r="G1131" s="2483"/>
      <c r="H1131" s="2483"/>
      <c r="I1131" s="2483"/>
      <c r="J1131" s="2483"/>
      <c r="K1131" s="2483"/>
      <c r="L1131" s="2483"/>
      <c r="M1131" s="2483"/>
      <c r="N1131" s="2482"/>
      <c r="O1131" s="2482"/>
      <c r="P1131" s="2482"/>
      <c r="Q1131" s="2485"/>
    </row>
    <row r="1132" spans="1:17" ht="15">
      <c r="A1132" s="2771"/>
      <c r="B1132" s="2484"/>
      <c r="C1132" s="2483"/>
      <c r="D1132" s="2483"/>
      <c r="E1132" s="2483"/>
      <c r="F1132" s="2483"/>
      <c r="G1132" s="2483"/>
      <c r="H1132" s="2483"/>
      <c r="I1132" s="2483"/>
      <c r="J1132" s="2483"/>
      <c r="K1132" s="2483"/>
      <c r="L1132" s="2483"/>
      <c r="M1132" s="2483"/>
      <c r="N1132" s="2482"/>
      <c r="O1132" s="2482"/>
      <c r="P1132" s="2482"/>
      <c r="Q1132" s="2485"/>
    </row>
    <row r="1133" spans="1:17" ht="15">
      <c r="A1133" s="2771" t="s">
        <v>3293</v>
      </c>
      <c r="B1133" s="2771" t="s">
        <v>4821</v>
      </c>
      <c r="C1133" s="2483"/>
      <c r="D1133" s="2483"/>
      <c r="E1133" s="2483"/>
      <c r="F1133" s="2483"/>
      <c r="G1133" s="2483"/>
      <c r="H1133" s="2483"/>
      <c r="I1133" s="2483"/>
      <c r="J1133" s="2483"/>
      <c r="K1133" s="2483"/>
      <c r="L1133" s="2483"/>
      <c r="M1133" s="2483"/>
      <c r="N1133" s="2482"/>
      <c r="O1133" s="2772" t="s">
        <v>1726</v>
      </c>
      <c r="P1133" s="2487"/>
      <c r="Q1133" s="2487"/>
    </row>
    <row r="1134" spans="1:17" ht="14.1" customHeight="1">
      <c r="A1134" s="2771"/>
      <c r="B1134" s="2482" t="s">
        <v>5009</v>
      </c>
      <c r="C1134" s="2482"/>
      <c r="D1134" s="2482"/>
      <c r="E1134" s="2482"/>
      <c r="F1134" s="2482"/>
      <c r="G1134" s="2482"/>
      <c r="H1134" s="2482"/>
      <c r="I1134" s="2482"/>
      <c r="J1134" s="2482"/>
      <c r="K1134" s="2482"/>
      <c r="L1134" s="2482"/>
      <c r="M1134" s="2482"/>
      <c r="N1134" s="2482"/>
      <c r="O1134" s="2482"/>
      <c r="P1134" s="2487">
        <f>'Part VII-Threshold Criteria'!P291</f>
        <v>0</v>
      </c>
      <c r="Q1134" s="2487"/>
    </row>
    <row r="1135" spans="1:17" ht="15">
      <c r="A1135" s="2771"/>
      <c r="B1135" s="2774" t="s">
        <v>3157</v>
      </c>
      <c r="C1135" s="2482"/>
      <c r="D1135" s="2774"/>
      <c r="E1135" s="2774"/>
      <c r="F1135" s="2774"/>
      <c r="G1135" s="2774"/>
      <c r="H1135" s="2483"/>
      <c r="I1135" s="2484"/>
      <c r="J1135" s="2484"/>
      <c r="K1135" s="2484"/>
      <c r="L1135" s="2485"/>
      <c r="M1135" s="2485"/>
      <c r="N1135" s="2485"/>
      <c r="O1135" s="2485"/>
      <c r="P1135" s="2485"/>
      <c r="Q1135" s="2485"/>
    </row>
    <row r="1136" spans="1:17" ht="14.25">
      <c r="A1136" s="2482">
        <f>'Part VII-Threshold Criteria'!A293</f>
        <v>0</v>
      </c>
      <c r="B1136" s="2482"/>
      <c r="C1136" s="2482"/>
      <c r="D1136" s="2482"/>
      <c r="E1136" s="2482"/>
      <c r="F1136" s="2482"/>
      <c r="G1136" s="2482"/>
      <c r="H1136" s="2482"/>
      <c r="I1136" s="2482"/>
      <c r="J1136" s="2482"/>
      <c r="K1136" s="2482"/>
      <c r="L1136" s="2482"/>
      <c r="M1136" s="2482"/>
      <c r="N1136" s="2482"/>
      <c r="O1136" s="2482"/>
      <c r="P1136" s="2482"/>
      <c r="Q1136" s="2482"/>
    </row>
    <row r="1137" spans="1:17" ht="14.25">
      <c r="A1137" s="2482"/>
      <c r="B1137" s="2773" t="s">
        <v>1725</v>
      </c>
      <c r="C1137" s="2773"/>
      <c r="D1137" s="2483"/>
      <c r="E1137" s="2483"/>
      <c r="F1137" s="2483"/>
      <c r="G1137" s="2483"/>
      <c r="H1137" s="2483"/>
      <c r="I1137" s="2483"/>
      <c r="J1137" s="2483"/>
      <c r="K1137" s="2483"/>
      <c r="L1137" s="2483"/>
      <c r="M1137" s="2483"/>
      <c r="N1137" s="2483"/>
      <c r="O1137" s="2483"/>
      <c r="P1137" s="2483"/>
      <c r="Q1137" s="2483"/>
    </row>
    <row r="1138" spans="1:17" ht="14.25">
      <c r="A1138" s="2482"/>
      <c r="B1138" s="2482"/>
      <c r="C1138" s="2482"/>
      <c r="D1138" s="2482"/>
      <c r="E1138" s="2482"/>
      <c r="F1138" s="2482"/>
      <c r="G1138" s="2482"/>
      <c r="H1138" s="2482"/>
      <c r="I1138" s="2482"/>
      <c r="J1138" s="2482"/>
      <c r="K1138" s="2482"/>
      <c r="L1138" s="2482"/>
      <c r="M1138" s="2482"/>
      <c r="N1138" s="2482"/>
      <c r="O1138" s="2482"/>
      <c r="P1138" s="2482"/>
      <c r="Q1138" s="2482"/>
    </row>
    <row r="1139" spans="1:17" ht="15">
      <c r="A1139" s="2771"/>
      <c r="B1139" s="2484"/>
      <c r="C1139" s="2483"/>
      <c r="D1139" s="2483"/>
      <c r="E1139" s="2483"/>
      <c r="F1139" s="2483"/>
      <c r="G1139" s="2483"/>
      <c r="H1139" s="2483"/>
      <c r="I1139" s="2483"/>
      <c r="J1139" s="2483"/>
      <c r="K1139" s="2483"/>
      <c r="L1139" s="2483"/>
      <c r="M1139" s="2483"/>
      <c r="N1139" s="2482"/>
      <c r="O1139" s="2482"/>
      <c r="P1139" s="2482"/>
      <c r="Q1139" s="2485"/>
    </row>
    <row r="1140" spans="1:17" ht="15">
      <c r="A1140" s="2771"/>
      <c r="B1140" s="2484"/>
      <c r="C1140" s="2483"/>
      <c r="D1140" s="2483"/>
      <c r="E1140" s="2483"/>
      <c r="F1140" s="2483"/>
      <c r="G1140" s="2483"/>
      <c r="H1140" s="2483"/>
      <c r="I1140" s="2483"/>
      <c r="J1140" s="2483"/>
      <c r="K1140" s="2483"/>
      <c r="L1140" s="2483"/>
      <c r="M1140" s="2483"/>
      <c r="N1140" s="2482"/>
      <c r="O1140" s="2482"/>
      <c r="P1140" s="2482"/>
      <c r="Q1140" s="2485"/>
    </row>
    <row r="1141" spans="1:17" ht="15">
      <c r="A1141" s="2771" t="s">
        <v>3294</v>
      </c>
      <c r="B1141" s="2487" t="s">
        <v>4823</v>
      </c>
      <c r="C1141" s="2482"/>
      <c r="D1141" s="2487"/>
      <c r="E1141" s="2483"/>
      <c r="F1141" s="2483"/>
      <c r="G1141" s="2483"/>
      <c r="H1141" s="2483"/>
      <c r="I1141" s="2482"/>
      <c r="J1141" s="2483"/>
      <c r="K1141" s="2483"/>
      <c r="L1141" s="2483"/>
      <c r="M1141" s="2483"/>
      <c r="N1141" s="2482"/>
      <c r="O1141" s="2772" t="s">
        <v>1726</v>
      </c>
      <c r="P1141" s="2487"/>
      <c r="Q1141" s="2487"/>
    </row>
    <row r="1142" spans="1:17" ht="14.1" customHeight="1">
      <c r="A1142" s="2771"/>
      <c r="B1142" s="2482" t="s">
        <v>5019</v>
      </c>
      <c r="C1142" s="2482"/>
      <c r="D1142" s="2482"/>
      <c r="E1142" s="2482"/>
      <c r="F1142" s="2482"/>
      <c r="G1142" s="2482"/>
      <c r="H1142" s="2482"/>
      <c r="I1142" s="2482"/>
      <c r="J1142" s="2482"/>
      <c r="K1142" s="2482"/>
      <c r="L1142" s="2482"/>
      <c r="M1142" s="2482"/>
      <c r="N1142" s="2482"/>
      <c r="O1142" s="2482"/>
      <c r="P1142" s="2487">
        <f>'Part VII-Threshold Criteria'!P299</f>
        <v>0</v>
      </c>
      <c r="Q1142" s="2487"/>
    </row>
    <row r="1143" spans="1:17" ht="14.1" customHeight="1">
      <c r="A1143" s="2771"/>
      <c r="B1143" s="2770" t="s">
        <v>4824</v>
      </c>
      <c r="C1143" s="2770"/>
      <c r="D1143" s="2770"/>
      <c r="E1143" s="2770"/>
      <c r="F1143" s="2770"/>
      <c r="G1143" s="2770"/>
      <c r="H1143" s="2770"/>
      <c r="I1143" s="2770"/>
      <c r="J1143" s="2770"/>
      <c r="K1143" s="2770"/>
      <c r="L1143" s="2770"/>
      <c r="M1143" s="2770"/>
      <c r="N1143" s="2770"/>
      <c r="O1143" s="2770"/>
      <c r="P1143" s="2487">
        <f>'Part VII-Threshold Criteria'!P300</f>
        <v>0</v>
      </c>
      <c r="Q1143" s="2487"/>
    </row>
    <row r="1144" spans="1:17" ht="15">
      <c r="A1144" s="2771"/>
      <c r="B1144" s="2774" t="s">
        <v>3157</v>
      </c>
      <c r="C1144" s="2482"/>
      <c r="D1144" s="2774"/>
      <c r="E1144" s="2774"/>
      <c r="F1144" s="2774"/>
      <c r="G1144" s="2774"/>
      <c r="H1144" s="2483"/>
      <c r="I1144" s="2484"/>
      <c r="J1144" s="2484"/>
      <c r="K1144" s="2484"/>
      <c r="L1144" s="2485"/>
      <c r="M1144" s="2485"/>
      <c r="N1144" s="2485"/>
      <c r="O1144" s="2485"/>
      <c r="P1144" s="2485"/>
      <c r="Q1144" s="2485"/>
    </row>
    <row r="1145" spans="1:17" ht="14.25">
      <c r="A1145" s="2482">
        <f>'Part VII-Threshold Criteria'!A302</f>
        <v>0</v>
      </c>
      <c r="B1145" s="2482"/>
      <c r="C1145" s="2482"/>
      <c r="D1145" s="2482"/>
      <c r="E1145" s="2482"/>
      <c r="F1145" s="2482"/>
      <c r="G1145" s="2482"/>
      <c r="H1145" s="2482"/>
      <c r="I1145" s="2482"/>
      <c r="J1145" s="2482"/>
      <c r="K1145" s="2482"/>
      <c r="L1145" s="2482"/>
      <c r="M1145" s="2482"/>
      <c r="N1145" s="2482"/>
      <c r="O1145" s="2482"/>
      <c r="P1145" s="2482"/>
      <c r="Q1145" s="2482"/>
    </row>
    <row r="1146" spans="1:17" ht="14.25">
      <c r="A1146" s="2482"/>
      <c r="B1146" s="2773" t="s">
        <v>1725</v>
      </c>
      <c r="C1146" s="2773"/>
      <c r="D1146" s="2483"/>
      <c r="E1146" s="2483"/>
      <c r="F1146" s="2483"/>
      <c r="G1146" s="2483"/>
      <c r="H1146" s="2483"/>
      <c r="I1146" s="2483"/>
      <c r="J1146" s="2483"/>
      <c r="K1146" s="2483"/>
      <c r="L1146" s="2483"/>
      <c r="M1146" s="2483"/>
      <c r="N1146" s="2483"/>
      <c r="O1146" s="2483"/>
      <c r="P1146" s="2483"/>
      <c r="Q1146" s="2483"/>
    </row>
    <row r="1147" spans="1:17" ht="14.25">
      <c r="A1147" s="2482"/>
      <c r="B1147" s="2482"/>
      <c r="C1147" s="2482"/>
      <c r="D1147" s="2482"/>
      <c r="E1147" s="2482"/>
      <c r="F1147" s="2482"/>
      <c r="G1147" s="2482"/>
      <c r="H1147" s="2482"/>
      <c r="I1147" s="2482"/>
      <c r="J1147" s="2482"/>
      <c r="K1147" s="2482"/>
      <c r="L1147" s="2482"/>
      <c r="M1147" s="2482"/>
      <c r="N1147" s="2482"/>
      <c r="O1147" s="2482"/>
      <c r="P1147" s="2482"/>
      <c r="Q1147" s="2482"/>
    </row>
    <row r="1148" spans="1:17" ht="15">
      <c r="A1148" s="2485"/>
      <c r="B1148" s="2484"/>
      <c r="C1148" s="2483"/>
      <c r="D1148" s="2483"/>
      <c r="E1148" s="2483"/>
      <c r="F1148" s="2483"/>
      <c r="G1148" s="2483"/>
      <c r="H1148" s="2483"/>
      <c r="I1148" s="2483"/>
      <c r="J1148" s="2483"/>
      <c r="K1148" s="2483"/>
      <c r="L1148" s="2483"/>
      <c r="M1148" s="2483"/>
      <c r="N1148" s="2483"/>
      <c r="O1148" s="2483"/>
      <c r="P1148" s="2483"/>
      <c r="Q1148" s="2485"/>
    </row>
    <row r="1149" spans="1:17" ht="15">
      <c r="A1149" s="2771"/>
      <c r="B1149" s="2484"/>
      <c r="C1149" s="2483"/>
      <c r="D1149" s="2483"/>
      <c r="E1149" s="2483"/>
      <c r="F1149" s="2483"/>
      <c r="G1149" s="2483"/>
      <c r="H1149" s="2483"/>
      <c r="I1149" s="2483"/>
      <c r="J1149" s="2483"/>
      <c r="K1149" s="2483"/>
      <c r="L1149" s="2483"/>
      <c r="M1149" s="2483"/>
      <c r="N1149" s="2482"/>
      <c r="O1149" s="2482"/>
      <c r="P1149" s="2482"/>
      <c r="Q1149" s="2485"/>
    </row>
    <row r="1150" spans="1:17" ht="15">
      <c r="A1150" s="2771" t="s">
        <v>3680</v>
      </c>
      <c r="B1150" s="2487" t="s">
        <v>2429</v>
      </c>
      <c r="C1150" s="2482"/>
      <c r="D1150" s="2487"/>
      <c r="E1150" s="2483"/>
      <c r="F1150" s="2483"/>
      <c r="G1150" s="2483"/>
      <c r="H1150" s="2483"/>
      <c r="I1150" s="2482"/>
      <c r="J1150" s="2483"/>
      <c r="K1150" s="2483"/>
      <c r="L1150" s="2483"/>
      <c r="M1150" s="2483"/>
      <c r="N1150" s="2482"/>
      <c r="O1150" s="2772" t="s">
        <v>1726</v>
      </c>
      <c r="P1150" s="2487"/>
      <c r="Q1150" s="2487"/>
    </row>
    <row r="1151" spans="1:17" ht="15">
      <c r="A1151" s="2771"/>
      <c r="B1151" s="2774" t="s">
        <v>3157</v>
      </c>
      <c r="C1151" s="2482"/>
      <c r="D1151" s="2774"/>
      <c r="E1151" s="2774"/>
      <c r="F1151" s="2774"/>
      <c r="G1151" s="2774"/>
      <c r="H1151" s="2483"/>
      <c r="I1151" s="2484"/>
      <c r="J1151" s="2484"/>
      <c r="K1151" s="2484"/>
      <c r="L1151" s="2485"/>
      <c r="M1151" s="2485"/>
      <c r="N1151" s="2485"/>
      <c r="O1151" s="2485"/>
      <c r="P1151" s="2485"/>
      <c r="Q1151" s="2485"/>
    </row>
    <row r="1152" spans="1:17" ht="14.25">
      <c r="A1152" s="2482">
        <f>'Part VII-Threshold Criteria'!A309</f>
        <v>0</v>
      </c>
      <c r="B1152" s="2482"/>
      <c r="C1152" s="2482"/>
      <c r="D1152" s="2482"/>
      <c r="E1152" s="2482"/>
      <c r="F1152" s="2482"/>
      <c r="G1152" s="2482"/>
      <c r="H1152" s="2482"/>
      <c r="I1152" s="2482"/>
      <c r="J1152" s="2482"/>
      <c r="K1152" s="2482"/>
      <c r="L1152" s="2482"/>
      <c r="M1152" s="2482"/>
      <c r="N1152" s="2482"/>
      <c r="O1152" s="2482"/>
      <c r="P1152" s="2482"/>
      <c r="Q1152" s="2482"/>
    </row>
    <row r="1153" spans="1:32" ht="14.25">
      <c r="A1153" s="2482"/>
      <c r="B1153" s="2773" t="s">
        <v>1725</v>
      </c>
      <c r="C1153" s="2773"/>
      <c r="D1153" s="2483"/>
      <c r="E1153" s="2483"/>
      <c r="F1153" s="2483"/>
      <c r="G1153" s="2483"/>
      <c r="H1153" s="2483"/>
      <c r="I1153" s="2483"/>
      <c r="J1153" s="2483"/>
      <c r="K1153" s="2483"/>
      <c r="L1153" s="2483"/>
      <c r="M1153" s="2483"/>
      <c r="N1153" s="2483"/>
      <c r="O1153" s="2483"/>
      <c r="P1153" s="2483"/>
      <c r="Q1153" s="2483"/>
    </row>
    <row r="1154" spans="1:32" ht="14.25">
      <c r="A1154" s="2482"/>
      <c r="B1154" s="2482"/>
      <c r="C1154" s="2482"/>
      <c r="D1154" s="2482"/>
      <c r="E1154" s="2482"/>
      <c r="F1154" s="2482"/>
      <c r="G1154" s="2482"/>
      <c r="H1154" s="2482"/>
      <c r="I1154" s="2482"/>
      <c r="J1154" s="2482"/>
      <c r="K1154" s="2482"/>
      <c r="L1154" s="2482"/>
      <c r="M1154" s="2482"/>
      <c r="N1154" s="2482"/>
      <c r="O1154" s="2482"/>
      <c r="P1154" s="2482"/>
      <c r="Q1154" s="2482"/>
    </row>
    <row r="1158" spans="1:32" ht="15">
      <c r="A1158" s="1996" t="str">
        <f>CONCATENATE("PART EIGHT - SCORING CRITERIA","  -  ",'Part I-Project Identification'!$O$7," ",'Part I-Project Identification'!$F$26,", ",'Part I-Project Identification'!F1100,", ",'Part I-Project Identification'!J1100," County")</f>
        <v>PART EIGHT - SCORING CRITERIA  -  2024-0 Redland Trace, ,  County</v>
      </c>
      <c r="B1158" s="1996"/>
      <c r="C1158" s="1996"/>
      <c r="D1158" s="1996"/>
      <c r="E1158" s="1996"/>
      <c r="F1158" s="1996"/>
      <c r="G1158" s="1996"/>
      <c r="H1158" s="1996"/>
      <c r="I1158" s="1996"/>
      <c r="J1158" s="1996"/>
      <c r="K1158" s="1996"/>
      <c r="L1158" s="1996"/>
      <c r="M1158" s="1996"/>
      <c r="N1158" s="1996"/>
      <c r="O1158" s="1996"/>
      <c r="P1158" s="1996"/>
      <c r="Q1158" s="1996"/>
      <c r="R1158" s="1996"/>
      <c r="S1158" s="1996"/>
      <c r="T1158" s="1996"/>
      <c r="U1158" s="1996"/>
      <c r="V1158" s="1996"/>
      <c r="W1158" s="1996"/>
      <c r="X1158" s="2800"/>
      <c r="Y1158" s="2027"/>
      <c r="Z1158" s="2027"/>
      <c r="AA1158" s="2027"/>
      <c r="AB1158" s="2027"/>
      <c r="AC1158" s="2027"/>
      <c r="AD1158" s="2027"/>
      <c r="AE1158" s="2027"/>
      <c r="AF1158" s="2027"/>
    </row>
    <row r="1159" spans="1:32" ht="15">
      <c r="A1159" s="1997"/>
      <c r="B1159" s="1997"/>
      <c r="C1159" s="2801"/>
      <c r="D1159" s="1997"/>
      <c r="E1159" s="1997"/>
      <c r="F1159" s="1997"/>
      <c r="G1159" s="1997"/>
      <c r="H1159" s="1997"/>
      <c r="I1159" s="1997"/>
      <c r="J1159" s="1997"/>
      <c r="K1159" s="1997"/>
      <c r="L1159" s="1997"/>
      <c r="M1159" s="2011"/>
      <c r="N1159" s="2011"/>
      <c r="O1159" s="2466"/>
      <c r="P1159" s="2466"/>
      <c r="Q1159" s="1996"/>
      <c r="R1159" s="1996"/>
      <c r="S1159" s="1996"/>
      <c r="T1159" s="1996"/>
      <c r="U1159" s="1996"/>
      <c r="V1159" s="1996"/>
      <c r="W1159" s="1996"/>
      <c r="X1159" s="2800"/>
      <c r="Y1159" s="2027"/>
      <c r="Z1159" s="2027"/>
      <c r="AA1159" s="2027"/>
      <c r="AB1159" s="2027"/>
      <c r="AC1159" s="2027"/>
      <c r="AD1159" s="2027"/>
      <c r="AE1159" s="2027"/>
      <c r="AF1159" s="2027"/>
    </row>
    <row r="1160" spans="1:32" ht="14.1" customHeight="1">
      <c r="A1160" s="2802" t="s">
        <v>5017</v>
      </c>
      <c r="B1160" s="2802"/>
      <c r="C1160" s="2802"/>
      <c r="D1160" s="2802"/>
      <c r="E1160" s="2802"/>
      <c r="F1160" s="2802"/>
      <c r="G1160" s="2802"/>
      <c r="H1160" s="2802"/>
      <c r="I1160" s="2802"/>
      <c r="J1160" s="2802"/>
      <c r="K1160" s="2802"/>
      <c r="L1160" s="2802"/>
      <c r="M1160" s="2466" t="s">
        <v>4732</v>
      </c>
      <c r="N1160" s="2011"/>
      <c r="O1160" s="2466" t="s">
        <v>2045</v>
      </c>
      <c r="P1160" s="2466" t="s">
        <v>245</v>
      </c>
      <c r="Q1160" s="1996"/>
      <c r="R1160" s="1996"/>
      <c r="S1160" s="1996"/>
      <c r="T1160" s="1996"/>
      <c r="U1160" s="1996"/>
      <c r="V1160" s="1996"/>
      <c r="W1160" s="1996"/>
      <c r="X1160" s="2800"/>
      <c r="Y1160" s="1997"/>
      <c r="Z1160" s="1997"/>
      <c r="AA1160" s="1997"/>
      <c r="AB1160" s="1997"/>
      <c r="AC1160" s="1997"/>
      <c r="AD1160" s="1997"/>
      <c r="AE1160" s="1997"/>
      <c r="AF1160" s="1997"/>
    </row>
    <row r="1161" spans="1:32" ht="14.1" customHeight="1">
      <c r="A1161" s="2802"/>
      <c r="B1161" s="2802"/>
      <c r="C1161" s="2802"/>
      <c r="D1161" s="2802"/>
      <c r="E1161" s="2802"/>
      <c r="F1161" s="2802"/>
      <c r="G1161" s="2802"/>
      <c r="H1161" s="2802"/>
      <c r="I1161" s="2802"/>
      <c r="J1161" s="2802"/>
      <c r="K1161" s="2802"/>
      <c r="L1161" s="2802"/>
      <c r="M1161" s="2466" t="s">
        <v>2046</v>
      </c>
      <c r="N1161" s="1996"/>
      <c r="O1161" s="2466" t="s">
        <v>2046</v>
      </c>
      <c r="P1161" s="2466" t="s">
        <v>2046</v>
      </c>
      <c r="Q1161" s="1996"/>
      <c r="R1161" s="1996"/>
      <c r="S1161" s="1996"/>
      <c r="T1161" s="1996"/>
      <c r="U1161" s="1996"/>
      <c r="V1161" s="1996"/>
      <c r="W1161" s="1997"/>
      <c r="X1161" s="1997"/>
      <c r="Y1161" s="1997"/>
      <c r="Z1161" s="1997"/>
      <c r="AA1161" s="1997"/>
      <c r="AB1161" s="1997"/>
      <c r="AC1161" s="1997"/>
      <c r="AD1161" s="1997"/>
      <c r="AE1161" s="1997"/>
      <c r="AF1161" s="1997"/>
    </row>
    <row r="1162" spans="1:32" ht="15">
      <c r="A1162" s="1997"/>
      <c r="B1162" s="1997"/>
      <c r="C1162" s="1997"/>
      <c r="D1162" s="1997"/>
      <c r="E1162" s="1997"/>
      <c r="F1162" s="1997"/>
      <c r="G1162" s="1997"/>
      <c r="H1162" s="1997"/>
      <c r="I1162" s="1997"/>
      <c r="J1162" s="1997"/>
      <c r="K1162" s="1997"/>
      <c r="L1162" s="1997"/>
      <c r="M1162" s="2029"/>
      <c r="N1162" s="1996"/>
      <c r="O1162" s="2466"/>
      <c r="P1162" s="2029"/>
      <c r="Q1162" s="1996"/>
      <c r="R1162" s="1996"/>
      <c r="S1162" s="1996"/>
      <c r="T1162" s="1996"/>
      <c r="U1162" s="1996"/>
      <c r="V1162" s="1996"/>
      <c r="W1162" s="1997"/>
      <c r="X1162" s="1997"/>
      <c r="Y1162" s="1997"/>
      <c r="Z1162" s="1997"/>
      <c r="AA1162" s="1997"/>
      <c r="AB1162" s="1997"/>
      <c r="AC1162" s="1997"/>
      <c r="AD1162" s="1997"/>
      <c r="AE1162" s="1997"/>
      <c r="AF1162" s="1997"/>
    </row>
    <row r="1163" spans="1:32" ht="15">
      <c r="A1163" s="1997"/>
      <c r="B1163" s="2803" t="str">
        <f>'Part I-Project Identification'!$A$6</f>
        <v>2024 May 7</v>
      </c>
      <c r="C1163" s="2803"/>
      <c r="D1163" s="2803"/>
      <c r="E1163" s="2803"/>
      <c r="F1163" s="2803"/>
      <c r="G1163" s="1997"/>
      <c r="H1163" s="1997"/>
      <c r="I1163" s="1997"/>
      <c r="J1163" s="1997"/>
      <c r="K1163" s="1997"/>
      <c r="L1163" s="2466" t="s">
        <v>1151</v>
      </c>
      <c r="M1163" s="2026"/>
      <c r="N1163" s="2804"/>
      <c r="O1163" s="2805">
        <f>O1556</f>
        <v>81</v>
      </c>
      <c r="P1163" s="2805">
        <f>P1556</f>
        <v>12</v>
      </c>
      <c r="Q1163" s="1996" t="s">
        <v>4694</v>
      </c>
      <c r="R1163" s="1997"/>
      <c r="S1163" s="1997"/>
      <c r="T1163" s="1997"/>
      <c r="U1163" s="1997"/>
      <c r="V1163" s="1997"/>
      <c r="W1163" s="1997"/>
      <c r="X1163" s="1997"/>
      <c r="Y1163" s="1997"/>
      <c r="Z1163" s="1997"/>
      <c r="AA1163" s="1997"/>
      <c r="AB1163" s="1997"/>
      <c r="AC1163" s="1997"/>
      <c r="AD1163" s="1997"/>
      <c r="AE1163" s="1997"/>
      <c r="AF1163" s="1997"/>
    </row>
    <row r="1164" spans="1:32" ht="15">
      <c r="A1164" s="1997"/>
      <c r="B1164" s="2469"/>
      <c r="C1164" s="1997"/>
      <c r="D1164" s="1997"/>
      <c r="E1164" s="1997"/>
      <c r="F1164" s="1997"/>
      <c r="G1164" s="1997"/>
      <c r="H1164" s="1997"/>
      <c r="I1164" s="1997"/>
      <c r="J1164" s="1997"/>
      <c r="K1164" s="1997"/>
      <c r="L1164" s="1997"/>
      <c r="M1164" s="2011"/>
      <c r="N1164" s="2016"/>
      <c r="O1164" s="2026"/>
      <c r="P1164" s="2466"/>
      <c r="Q1164" s="1997"/>
      <c r="R1164" s="1997"/>
      <c r="S1164" s="1997"/>
      <c r="T1164" s="1997"/>
      <c r="U1164" s="1997"/>
      <c r="V1164" s="1997"/>
      <c r="W1164" s="1997"/>
      <c r="X1164" s="1997"/>
      <c r="Y1164" s="1997"/>
      <c r="Z1164" s="2027"/>
      <c r="AA1164" s="2027"/>
      <c r="AB1164" s="2027"/>
      <c r="AC1164" s="2027"/>
      <c r="AD1164" s="2027"/>
      <c r="AE1164" s="2027"/>
      <c r="AF1164" s="2027"/>
    </row>
    <row r="1165" spans="1:32" ht="15">
      <c r="A1165" s="2461" t="s">
        <v>688</v>
      </c>
      <c r="B1165" s="2462" t="s">
        <v>4039</v>
      </c>
      <c r="C1165" s="1996"/>
      <c r="D1165" s="1997"/>
      <c r="E1165" s="1997"/>
      <c r="F1165" s="1997"/>
      <c r="G1165" s="2806"/>
      <c r="H1165" s="1997"/>
      <c r="I1165" s="2806"/>
      <c r="J1165" s="2806"/>
      <c r="K1165" s="2806"/>
      <c r="L1165" s="2806"/>
      <c r="M1165" s="2806"/>
      <c r="N1165" s="2806"/>
      <c r="O1165" s="2806"/>
      <c r="P1165" s="2806"/>
      <c r="Q1165" s="1997"/>
      <c r="R1165" s="1997"/>
      <c r="S1165" s="1997"/>
      <c r="T1165" s="1997"/>
      <c r="U1165" s="1997"/>
      <c r="V1165" s="1997"/>
      <c r="W1165" s="1997"/>
      <c r="X1165" s="1997"/>
      <c r="Y1165" s="1997"/>
      <c r="Z1165" s="1997"/>
      <c r="AA1165" s="1997"/>
      <c r="AB1165" s="1997"/>
      <c r="AC1165" s="1997"/>
      <c r="AD1165" s="1997"/>
      <c r="AE1165" s="1997"/>
      <c r="AF1165" s="1997"/>
    </row>
    <row r="1166" spans="1:32" ht="15">
      <c r="A1166" s="2027"/>
      <c r="B1166" s="2027"/>
      <c r="C1166" s="2027"/>
      <c r="D1166" s="2027"/>
      <c r="E1166" s="2027"/>
      <c r="F1166" s="2027"/>
      <c r="G1166" s="2027"/>
      <c r="H1166" s="2027"/>
      <c r="I1166" s="2027"/>
      <c r="J1166" s="2027"/>
      <c r="K1166" s="2027"/>
      <c r="L1166" s="2027"/>
      <c r="M1166" s="2027"/>
      <c r="N1166" s="2016"/>
      <c r="O1166" s="2029"/>
      <c r="P1166" s="2029"/>
      <c r="Q1166" s="2027"/>
      <c r="R1166" s="2027"/>
      <c r="S1166" s="2027"/>
      <c r="T1166" s="2027"/>
      <c r="U1166" s="2027"/>
      <c r="V1166" s="2027"/>
      <c r="W1166" s="2027"/>
      <c r="X1166" s="2027"/>
      <c r="Y1166" s="2027"/>
      <c r="Z1166" s="2027"/>
      <c r="AA1166" s="2027"/>
      <c r="AB1166" s="2027"/>
      <c r="AC1166" s="2027"/>
      <c r="AD1166" s="2027"/>
      <c r="AE1166" s="2027"/>
      <c r="AF1166" s="2027"/>
    </row>
    <row r="1167" spans="1:32" ht="14.1" customHeight="1">
      <c r="A1167" s="2027" t="s">
        <v>4751</v>
      </c>
      <c r="B1167" s="2027"/>
      <c r="C1167" s="2027"/>
      <c r="D1167" s="2027"/>
      <c r="E1167" s="2807" t="str">
        <f>IF(OR((C1169-A1169&gt;0),(D1169-A1169&gt;0)),"Points Exceed Max!","")</f>
        <v/>
      </c>
      <c r="F1167" s="1996" t="s">
        <v>4715</v>
      </c>
      <c r="G1167" s="1996"/>
      <c r="H1167" s="1996"/>
      <c r="I1167" s="1996"/>
      <c r="J1167" s="1996" t="s">
        <v>4042</v>
      </c>
      <c r="K1167" s="1996"/>
      <c r="L1167" s="1996"/>
      <c r="M1167" s="1996"/>
      <c r="N1167" s="2016"/>
      <c r="O1167" s="1997" t="s">
        <v>4716</v>
      </c>
      <c r="P1167" s="1997"/>
      <c r="Q1167" s="2027"/>
      <c r="R1167" s="2027"/>
      <c r="S1167" s="2027"/>
      <c r="T1167" s="2027"/>
      <c r="U1167" s="2027"/>
      <c r="V1167" s="2027"/>
      <c r="W1167" s="2027"/>
      <c r="X1167" s="2027"/>
      <c r="Y1167" s="2027"/>
      <c r="Z1167" s="2027"/>
      <c r="AA1167" s="2027"/>
      <c r="AB1167" s="2027"/>
      <c r="AC1167" s="2027"/>
      <c r="AD1167" s="2027"/>
      <c r="AE1167" s="2027"/>
      <c r="AF1167" s="2027"/>
    </row>
    <row r="1168" spans="1:32" ht="15">
      <c r="A1168" s="1997" t="s">
        <v>4732</v>
      </c>
      <c r="B1168" s="1997"/>
      <c r="C1168" s="2011" t="s">
        <v>2880</v>
      </c>
      <c r="D1168" s="2011" t="s">
        <v>245</v>
      </c>
      <c r="E1168" s="2807"/>
      <c r="F1168" s="1996"/>
      <c r="G1168" s="1996"/>
      <c r="H1168" s="1996"/>
      <c r="I1168" s="1996"/>
      <c r="J1168" s="1996"/>
      <c r="K1168" s="1996"/>
      <c r="L1168" s="1996"/>
      <c r="M1168" s="1996"/>
      <c r="N1168" s="2016"/>
      <c r="O1168" s="1997"/>
      <c r="P1168" s="1997"/>
      <c r="Q1168" s="2027"/>
      <c r="R1168" s="2027"/>
      <c r="S1168" s="2027"/>
      <c r="T1168" s="2027"/>
      <c r="U1168" s="2027"/>
      <c r="V1168" s="2027"/>
      <c r="W1168" s="2027"/>
      <c r="X1168" s="2027"/>
      <c r="Y1168" s="2027"/>
      <c r="Z1168" s="2027"/>
      <c r="AA1168" s="2027"/>
      <c r="AB1168" s="2027"/>
      <c r="AC1168" s="2027"/>
      <c r="AD1168" s="2027"/>
      <c r="AE1168" s="2027"/>
      <c r="AF1168" s="2027"/>
    </row>
    <row r="1169" spans="1:32" ht="15">
      <c r="A1169" s="1996">
        <v>33</v>
      </c>
      <c r="B1169" s="1996"/>
      <c r="C1169" s="1996">
        <f>IF($O$12="4%",O1317+O1326+O1347+O1363+O1395+O1414,0)</f>
        <v>0</v>
      </c>
      <c r="D1169" s="1996">
        <f>IF($O$12="4%",P1317+P1326+P1347+P1363+P1395+P1414,0)</f>
        <v>0</v>
      </c>
      <c r="E1169" s="2807"/>
      <c r="F1169" s="1996" t="str">
        <f>'Part VIII Scoring Criteria'!F12</f>
        <v>New Affordability</v>
      </c>
      <c r="G1169" s="1996"/>
      <c r="H1169" s="1996" t="s">
        <v>4606</v>
      </c>
      <c r="I1169" s="1996"/>
      <c r="J1169" s="1996" t="str">
        <f>'Part VIII Scoring Criteria'!J12</f>
        <v>Atlanta Metro</v>
      </c>
      <c r="K1169" s="1996"/>
      <c r="L1169" s="1996" t="s">
        <v>4607</v>
      </c>
      <c r="M1169" s="1996"/>
      <c r="N1169" s="2016"/>
      <c r="O1169" s="199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6"/>
      <c r="Q1169" s="2027"/>
      <c r="R1169" s="2027"/>
      <c r="S1169" s="2027"/>
      <c r="T1169" s="2027"/>
      <c r="U1169" s="2027"/>
      <c r="V1169" s="2027"/>
      <c r="W1169" s="2027"/>
      <c r="X1169" s="2027"/>
      <c r="Y1169" s="2027"/>
      <c r="Z1169" s="2027"/>
      <c r="AA1169" s="2027"/>
      <c r="AB1169" s="2027"/>
      <c r="AC1169" s="2027"/>
      <c r="AD1169" s="2027"/>
      <c r="AE1169" s="2027"/>
      <c r="AF1169" s="2027"/>
    </row>
    <row r="1170" spans="1:32" ht="15">
      <c r="A1170" s="1996"/>
      <c r="B1170" s="1996"/>
      <c r="C1170" s="1996"/>
      <c r="D1170" s="1996"/>
      <c r="E1170" s="2807"/>
      <c r="F1170" s="1996"/>
      <c r="G1170" s="1996"/>
      <c r="H1170" s="1996"/>
      <c r="I1170" s="1996"/>
      <c r="J1170" s="1996"/>
      <c r="K1170" s="1996"/>
      <c r="L1170" s="1996"/>
      <c r="M1170" s="1996"/>
      <c r="N1170" s="2016"/>
      <c r="O1170" s="1996"/>
      <c r="P1170" s="1996"/>
      <c r="Q1170" s="2027"/>
      <c r="R1170" s="2027"/>
      <c r="S1170" s="2027"/>
      <c r="T1170" s="2027"/>
      <c r="U1170" s="2027"/>
      <c r="V1170" s="2027"/>
      <c r="W1170" s="2027"/>
      <c r="X1170" s="2027"/>
      <c r="Y1170" s="2027"/>
      <c r="Z1170" s="2027"/>
      <c r="AA1170" s="2027"/>
      <c r="AB1170" s="2027"/>
      <c r="AC1170" s="2027"/>
      <c r="AD1170" s="2027"/>
      <c r="AE1170" s="2027"/>
      <c r="AF1170" s="2027"/>
    </row>
    <row r="1171" spans="1:32" ht="15">
      <c r="A1171" s="1997"/>
      <c r="B1171" s="2469"/>
      <c r="C1171" s="1997"/>
      <c r="D1171" s="1996"/>
      <c r="E1171" s="1997"/>
      <c r="F1171" s="1997"/>
      <c r="G1171" s="2470"/>
      <c r="H1171" s="2470"/>
      <c r="I1171" s="2470"/>
      <c r="J1171" s="2470"/>
      <c r="K1171" s="2470"/>
      <c r="L1171" s="2470"/>
      <c r="M1171" s="2011"/>
      <c r="N1171" s="2016"/>
      <c r="O1171" s="2026"/>
      <c r="P1171" s="2466"/>
      <c r="Q1171" s="2027"/>
      <c r="R1171" s="1997"/>
      <c r="S1171" s="1997"/>
      <c r="T1171" s="1997"/>
      <c r="U1171" s="1997"/>
      <c r="V1171" s="1997"/>
      <c r="W1171" s="1997"/>
      <c r="X1171" s="2471"/>
      <c r="Y1171" s="2471"/>
      <c r="Z1171" s="2471"/>
      <c r="AA1171" s="2471"/>
      <c r="AB1171" s="2471"/>
      <c r="AC1171" s="2471"/>
      <c r="AD1171" s="2471"/>
      <c r="AE1171" s="2471"/>
      <c r="AF1171" s="2471"/>
    </row>
    <row r="1172" spans="1:32" ht="15">
      <c r="A1172" s="1997"/>
      <c r="B1172" s="2469"/>
      <c r="C1172" s="1996" t="s">
        <v>4952</v>
      </c>
      <c r="D1172" s="1996"/>
      <c r="E1172" s="1996"/>
      <c r="F1172" s="1996"/>
      <c r="G1172" s="1996"/>
      <c r="H1172" s="1996"/>
      <c r="I1172" s="1996"/>
      <c r="J1172" s="1996"/>
      <c r="K1172" s="1996"/>
      <c r="L1172" s="1996"/>
      <c r="M1172" s="2011"/>
      <c r="N1172" s="2016"/>
      <c r="O1172" s="2026"/>
      <c r="P1172" s="2466"/>
      <c r="Q1172" s="1997"/>
      <c r="R1172" s="1997"/>
      <c r="S1172" s="1997"/>
      <c r="T1172" s="1997"/>
      <c r="U1172" s="1997"/>
      <c r="V1172" s="1997"/>
      <c r="W1172" s="1997"/>
      <c r="X1172" s="1997"/>
      <c r="Y1172" s="1997"/>
      <c r="Z1172" s="1997"/>
      <c r="AA1172" s="1997"/>
      <c r="AB1172" s="1997"/>
      <c r="AC1172" s="1997"/>
      <c r="AD1172" s="1997"/>
      <c r="AE1172" s="1997"/>
      <c r="AF1172" s="2471"/>
    </row>
    <row r="1173" spans="1:32" ht="15">
      <c r="A1173" s="1997"/>
      <c r="B1173" s="2469"/>
      <c r="C1173" s="1996" t="str">
        <f>'Part VIII Scoring Criteria'!C16</f>
        <v>Stable Communities</v>
      </c>
      <c r="D1173" s="1996"/>
      <c r="E1173" s="1996"/>
      <c r="F1173" s="1996"/>
      <c r="G1173" s="1996"/>
      <c r="H1173" s="1996" t="s">
        <v>4953</v>
      </c>
      <c r="I1173" s="1996"/>
      <c r="J1173" s="1996"/>
      <c r="K1173" s="1996"/>
      <c r="L1173" s="1996"/>
      <c r="M1173" s="2011"/>
      <c r="N1173" s="2016"/>
      <c r="O1173" s="2026"/>
      <c r="P1173" s="2466"/>
      <c r="Q1173" s="1997"/>
      <c r="R1173" s="1997"/>
      <c r="S1173" s="1997"/>
      <c r="T1173" s="1997"/>
      <c r="U1173" s="1997"/>
      <c r="V1173" s="1997"/>
      <c r="W1173" s="1997"/>
      <c r="X1173" s="1997"/>
      <c r="Y1173" s="1997"/>
      <c r="Z1173" s="1997"/>
      <c r="AA1173" s="1997"/>
      <c r="AB1173" s="1997"/>
      <c r="AC1173" s="1997"/>
      <c r="AD1173" s="1997"/>
      <c r="AE1173" s="1997"/>
      <c r="AF1173" s="2471"/>
    </row>
    <row r="1174" spans="1:32" ht="15">
      <c r="A1174" s="2027"/>
      <c r="B1174" s="2027"/>
      <c r="C1174" s="2027"/>
      <c r="D1174" s="2027"/>
      <c r="E1174" s="2027"/>
      <c r="F1174" s="2027"/>
      <c r="G1174" s="2027"/>
      <c r="H1174" s="2027"/>
      <c r="I1174" s="2027"/>
      <c r="J1174" s="2027"/>
      <c r="K1174" s="2027"/>
      <c r="L1174" s="2027"/>
      <c r="M1174" s="2027"/>
      <c r="N1174" s="2016"/>
      <c r="O1174" s="2029"/>
      <c r="P1174" s="2029"/>
      <c r="Q1174" s="1997"/>
      <c r="R1174" s="1997"/>
      <c r="S1174" s="1997"/>
      <c r="T1174" s="1997"/>
      <c r="U1174" s="1997"/>
      <c r="V1174" s="1997"/>
      <c r="W1174" s="1997"/>
      <c r="X1174" s="1997"/>
      <c r="Y1174" s="1997"/>
      <c r="Z1174" s="1997"/>
      <c r="AA1174" s="1997"/>
      <c r="AB1174" s="1997"/>
      <c r="AC1174" s="1997"/>
      <c r="AD1174" s="1997"/>
      <c r="AE1174" s="1997"/>
      <c r="AF1174" s="2027"/>
    </row>
    <row r="1175" spans="1:32" ht="14.1" customHeight="1">
      <c r="A1175" s="2027"/>
      <c r="B1175" s="2027"/>
      <c r="C1175" s="1997" t="s">
        <v>5110</v>
      </c>
      <c r="D1175" s="1997"/>
      <c r="E1175" s="1997"/>
      <c r="F1175" s="1997"/>
      <c r="G1175" s="1997"/>
      <c r="H1175" s="1997"/>
      <c r="I1175" s="1997"/>
      <c r="J1175" s="1997"/>
      <c r="K1175" s="1997"/>
      <c r="L1175" s="1997"/>
      <c r="M1175" s="1997"/>
      <c r="N1175" s="2016"/>
      <c r="O1175" s="2029"/>
      <c r="P1175" s="2029"/>
      <c r="Q1175" s="1997"/>
      <c r="R1175" s="1997"/>
      <c r="S1175" s="1997"/>
      <c r="T1175" s="1997"/>
      <c r="U1175" s="1997"/>
      <c r="V1175" s="1997"/>
      <c r="W1175" s="1997"/>
      <c r="X1175" s="1997"/>
      <c r="Y1175" s="1997"/>
      <c r="Z1175" s="1997"/>
      <c r="AA1175" s="1997"/>
      <c r="AB1175" s="1997"/>
      <c r="AC1175" s="1997"/>
      <c r="AD1175" s="1997"/>
      <c r="AE1175" s="1997"/>
      <c r="AF1175" s="2027"/>
    </row>
    <row r="1176" spans="1:32" ht="15">
      <c r="A1176" s="2027"/>
      <c r="B1176" s="2027"/>
      <c r="C1176" s="2027"/>
      <c r="D1176" s="2027"/>
      <c r="E1176" s="2027"/>
      <c r="F1176" s="2027"/>
      <c r="G1176" s="2027"/>
      <c r="H1176" s="2027"/>
      <c r="I1176" s="2027"/>
      <c r="J1176" s="2027"/>
      <c r="K1176" s="2027"/>
      <c r="L1176" s="2027"/>
      <c r="M1176" s="2027"/>
      <c r="N1176" s="2016"/>
      <c r="O1176" s="2029"/>
      <c r="P1176" s="2029"/>
      <c r="Q1176" s="1997"/>
      <c r="R1176" s="1997"/>
      <c r="S1176" s="1997"/>
      <c r="T1176" s="1997"/>
      <c r="U1176" s="1997"/>
      <c r="V1176" s="1997"/>
      <c r="W1176" s="1997"/>
      <c r="X1176" s="1997"/>
      <c r="Y1176" s="1997"/>
      <c r="Z1176" s="1997"/>
      <c r="AA1176" s="1997"/>
      <c r="AB1176" s="1997"/>
      <c r="AC1176" s="1997"/>
      <c r="AD1176" s="1997"/>
      <c r="AE1176" s="1997"/>
      <c r="AF1176" s="2027"/>
    </row>
    <row r="1177" spans="1:32" ht="15">
      <c r="A1177" s="2461" t="s">
        <v>690</v>
      </c>
      <c r="B1177" s="2462" t="s">
        <v>2508</v>
      </c>
      <c r="C1177" s="2027"/>
      <c r="D1177" s="2027"/>
      <c r="E1177" s="2027"/>
      <c r="F1177" s="2027"/>
      <c r="G1177" s="2027"/>
      <c r="H1177" s="2030"/>
      <c r="I1177" s="2027"/>
      <c r="J1177" s="2011"/>
      <c r="K1177" s="1997"/>
      <c r="L1177" s="2808" t="s">
        <v>4896</v>
      </c>
      <c r="M1177" s="2466">
        <v>6</v>
      </c>
      <c r="N1177" s="2011"/>
      <c r="O1177" s="2026">
        <f>'Part VIII Scoring Criteria'!O20</f>
        <v>6</v>
      </c>
      <c r="P1177" s="2026">
        <f>'Part VIII Scoring Criteria'!P20</f>
        <v>0</v>
      </c>
      <c r="Q1177" s="2466" t="s">
        <v>415</v>
      </c>
      <c r="R1177" s="2027"/>
      <c r="S1177" s="2027"/>
      <c r="T1177" s="2462"/>
      <c r="U1177" s="2462"/>
      <c r="V1177" s="2027"/>
      <c r="W1177" s="2027"/>
      <c r="X1177" s="2027"/>
      <c r="Y1177" s="2027"/>
      <c r="Z1177" s="2027"/>
      <c r="AA1177" s="2027"/>
      <c r="AB1177" s="2027"/>
      <c r="AC1177" s="2027"/>
      <c r="AD1177" s="2027"/>
      <c r="AE1177" s="2027"/>
      <c r="AF1177" s="2027"/>
    </row>
    <row r="1178" spans="1:32" ht="15">
      <c r="A1178" s="2466" t="s">
        <v>1836</v>
      </c>
      <c r="B1178" s="1996" t="s">
        <v>2060</v>
      </c>
      <c r="C1178" s="1997"/>
      <c r="D1178" s="2809"/>
      <c r="E1178" s="2809"/>
      <c r="F1178" s="1997"/>
      <c r="G1178" s="2027"/>
      <c r="H1178" s="1997"/>
      <c r="I1178" s="1997"/>
      <c r="J1178" s="1997"/>
      <c r="K1178" s="1997"/>
      <c r="L1178" s="2810"/>
      <c r="M1178" s="2011">
        <v>5</v>
      </c>
      <c r="N1178" s="2464"/>
      <c r="O1178" s="2026">
        <f>'Part VIII Scoring Criteria'!O21</f>
        <v>5</v>
      </c>
      <c r="P1178" s="2026">
        <f>'Part VIII Scoring Criteria'!P21</f>
        <v>0</v>
      </c>
      <c r="Q1178" s="2811"/>
      <c r="R1178" s="2812"/>
      <c r="S1178" s="1997"/>
      <c r="T1178" s="2462"/>
      <c r="U1178" s="2462"/>
      <c r="V1178" s="1997"/>
      <c r="W1178" s="1997"/>
      <c r="X1178" s="1997"/>
      <c r="Y1178" s="1997"/>
      <c r="Z1178" s="1997"/>
      <c r="AA1178" s="1997"/>
      <c r="AB1178" s="1997"/>
      <c r="AC1178" s="1997"/>
      <c r="AD1178" s="1997"/>
      <c r="AE1178" s="1997"/>
      <c r="AF1178" s="1997"/>
    </row>
    <row r="1179" spans="1:32" ht="15">
      <c r="A1179" s="2466"/>
      <c r="B1179" s="2813" t="s">
        <v>1839</v>
      </c>
      <c r="C1179" s="2030" t="s">
        <v>4954</v>
      </c>
      <c r="D1179" s="2809"/>
      <c r="E1179" s="2809"/>
      <c r="F1179" s="1997"/>
      <c r="G1179" s="2027"/>
      <c r="H1179" s="1997"/>
      <c r="I1179" s="1997"/>
      <c r="J1179" s="1997"/>
      <c r="K1179" s="1997"/>
      <c r="L1179" s="2810"/>
      <c r="M1179" s="2011">
        <v>5</v>
      </c>
      <c r="N1179" s="2814"/>
      <c r="O1179" s="2466" t="str">
        <f>'Part VIII Scoring Criteria'!O22</f>
        <v>Yes</v>
      </c>
      <c r="P1179" s="2466"/>
      <c r="Q1179" s="2811"/>
      <c r="R1179" s="2812"/>
      <c r="S1179" s="1997"/>
      <c r="T1179" s="2462"/>
      <c r="U1179" s="2462"/>
      <c r="V1179" s="1997"/>
      <c r="W1179" s="1997"/>
      <c r="X1179" s="1997"/>
      <c r="Y1179" s="1997"/>
      <c r="Z1179" s="1997"/>
      <c r="AA1179" s="1997"/>
      <c r="AB1179" s="1997"/>
      <c r="AC1179" s="1997"/>
      <c r="AD1179" s="1997"/>
      <c r="AE1179" s="1997"/>
      <c r="AF1179" s="1997"/>
    </row>
    <row r="1180" spans="1:32" ht="15">
      <c r="A1180" s="2466"/>
      <c r="B1180" s="2815" t="s">
        <v>1841</v>
      </c>
      <c r="C1180" s="2030" t="s">
        <v>4955</v>
      </c>
      <c r="D1180" s="2809"/>
      <c r="E1180" s="2809"/>
      <c r="F1180" s="1997"/>
      <c r="G1180" s="2027"/>
      <c r="H1180" s="1997"/>
      <c r="I1180" s="1997"/>
      <c r="J1180" s="1997"/>
      <c r="K1180" s="1997"/>
      <c r="L1180" s="2810"/>
      <c r="M1180" s="2011">
        <v>3</v>
      </c>
      <c r="N1180" s="2814"/>
      <c r="O1180" s="2466" t="str">
        <f>'Part VIII Scoring Criteria'!O23</f>
        <v>N/a</v>
      </c>
      <c r="P1180" s="2466"/>
      <c r="Q1180" s="2811"/>
      <c r="R1180" s="2812"/>
      <c r="S1180" s="1997"/>
      <c r="T1180" s="2462"/>
      <c r="U1180" s="2462"/>
      <c r="V1180" s="1997"/>
      <c r="W1180" s="1997"/>
      <c r="X1180" s="1997"/>
      <c r="Y1180" s="1997"/>
      <c r="Z1180" s="1997"/>
      <c r="AA1180" s="1997"/>
      <c r="AB1180" s="1997"/>
      <c r="AC1180" s="1997"/>
      <c r="AD1180" s="1997"/>
      <c r="AE1180" s="1997"/>
      <c r="AF1180" s="1997"/>
    </row>
    <row r="1181" spans="1:32" ht="15">
      <c r="A1181" s="2466"/>
      <c r="B1181" s="2815" t="s">
        <v>2326</v>
      </c>
      <c r="C1181" s="2030" t="s">
        <v>4956</v>
      </c>
      <c r="D1181" s="2809"/>
      <c r="E1181" s="2809"/>
      <c r="F1181" s="1997"/>
      <c r="G1181" s="2027"/>
      <c r="H1181" s="1997"/>
      <c r="I1181" s="1997"/>
      <c r="J1181" s="1997"/>
      <c r="K1181" s="2464"/>
      <c r="L1181" s="1997"/>
      <c r="M1181" s="2011">
        <v>1</v>
      </c>
      <c r="N1181" s="2814"/>
      <c r="O1181" s="2466" t="str">
        <f>'Part VIII Scoring Criteria'!O24</f>
        <v>N/a</v>
      </c>
      <c r="P1181" s="2466"/>
      <c r="Q1181" s="1997"/>
      <c r="R1181" s="2027"/>
      <c r="S1181" s="1997"/>
      <c r="T1181" s="2462"/>
      <c r="U1181" s="2462"/>
      <c r="V1181" s="1997"/>
      <c r="W1181" s="1997"/>
      <c r="X1181" s="1997"/>
      <c r="Y1181" s="1997"/>
      <c r="Z1181" s="1997"/>
      <c r="AA1181" s="1997"/>
      <c r="AB1181" s="1997"/>
      <c r="AC1181" s="1997"/>
      <c r="AD1181" s="1997"/>
      <c r="AE1181" s="1997"/>
      <c r="AF1181" s="1997"/>
    </row>
    <row r="1182" spans="1:32" ht="15">
      <c r="A1182" s="2466" t="s">
        <v>1838</v>
      </c>
      <c r="B1182" s="1996" t="s">
        <v>3829</v>
      </c>
      <c r="C1182" s="2027"/>
      <c r="D1182" s="1997"/>
      <c r="E1182" s="2027"/>
      <c r="F1182" s="2027"/>
      <c r="G1182" s="2027"/>
      <c r="H1182" s="2027"/>
      <c r="I1182" s="2027"/>
      <c r="J1182" s="2027"/>
      <c r="K1182" s="1997"/>
      <c r="L1182" s="2810" t="str">
        <f>IF(OR($O1182=$M1182,$O1182=0,$O1182=""),"","* * Check Score! * *")</f>
        <v/>
      </c>
      <c r="M1182" s="2011">
        <v>1</v>
      </c>
      <c r="N1182" s="2464"/>
      <c r="O1182" s="2026">
        <f>'Part VIII Scoring Criteria'!O25</f>
        <v>0</v>
      </c>
      <c r="P1182" s="2026">
        <f>'Part VIII Scoring Criteria'!P25</f>
        <v>0</v>
      </c>
      <c r="Q1182" s="2811" t="str">
        <f>IF(OR($O1182=$M1182,$O1182=0,$O1182=""),"","*CHECK!*")</f>
        <v/>
      </c>
      <c r="R1182" s="2812"/>
      <c r="S1182" s="2027"/>
      <c r="T1182" s="2462"/>
      <c r="U1182" s="2462"/>
      <c r="V1182" s="2027"/>
      <c r="W1182" s="2027"/>
      <c r="X1182" s="2027"/>
      <c r="Y1182" s="2027"/>
      <c r="Z1182" s="2027"/>
      <c r="AA1182" s="2027"/>
      <c r="AB1182" s="2027"/>
      <c r="AC1182" s="2027"/>
      <c r="AD1182" s="2027"/>
      <c r="AE1182" s="2027"/>
      <c r="AF1182" s="2027"/>
    </row>
    <row r="1183" spans="1:32" ht="14.45" customHeight="1">
      <c r="A1183" s="2816"/>
      <c r="B1183" s="1997" t="s">
        <v>4957</v>
      </c>
      <c r="C1183" s="1997"/>
      <c r="D1183" s="1997"/>
      <c r="E1183" s="1997"/>
      <c r="F1183" s="1997"/>
      <c r="G1183" s="1997"/>
      <c r="H1183" s="1997"/>
      <c r="I1183" s="1997"/>
      <c r="J1183" s="1997"/>
      <c r="K1183" s="1997"/>
      <c r="L1183" s="1997"/>
      <c r="M1183" s="2011"/>
      <c r="N1183" s="2464"/>
      <c r="O1183" s="2466" t="str">
        <f>'Part VIII Scoring Criteria'!O26</f>
        <v>N/a</v>
      </c>
      <c r="P1183" s="2817"/>
      <c r="Q1183" s="2027"/>
      <c r="R1183" s="2810"/>
      <c r="S1183" s="2027"/>
      <c r="T1183" s="2462"/>
      <c r="U1183" s="2462"/>
      <c r="V1183" s="2027"/>
      <c r="W1183" s="2027"/>
      <c r="X1183" s="2027"/>
      <c r="Y1183" s="2027"/>
      <c r="Z1183" s="2027"/>
      <c r="AA1183" s="2027"/>
      <c r="AB1183" s="2027"/>
      <c r="AC1183" s="2027"/>
      <c r="AD1183" s="2027"/>
      <c r="AE1183" s="2027"/>
      <c r="AF1183" s="2027"/>
    </row>
    <row r="1184" spans="1:32" ht="15">
      <c r="A1184" s="2466" t="s">
        <v>697</v>
      </c>
      <c r="B1184" s="1996" t="s">
        <v>5111</v>
      </c>
      <c r="C1184" s="2027"/>
      <c r="D1184" s="1997"/>
      <c r="E1184" s="2027"/>
      <c r="F1184" s="2027"/>
      <c r="G1184" s="2027"/>
      <c r="H1184" s="1997"/>
      <c r="I1184" s="2027"/>
      <c r="J1184" s="2027"/>
      <c r="K1184" s="1997"/>
      <c r="L1184" s="2810"/>
      <c r="M1184" s="2011">
        <v>1</v>
      </c>
      <c r="N1184" s="2464"/>
      <c r="O1184" s="2026">
        <f>'Part VIII Scoring Criteria'!O27</f>
        <v>1</v>
      </c>
      <c r="P1184" s="2026">
        <f>'Part VIII Scoring Criteria'!P27</f>
        <v>0</v>
      </c>
      <c r="Q1184" s="2811" t="str">
        <f>IF(OR($O1184=$M1184,$O1184=0,$O1184=""),"","*CHECK!*")</f>
        <v/>
      </c>
      <c r="R1184" s="2812"/>
      <c r="S1184" s="2027"/>
      <c r="T1184" s="2462"/>
      <c r="U1184" s="2462"/>
      <c r="V1184" s="2027"/>
      <c r="W1184" s="2027"/>
      <c r="X1184" s="2027"/>
      <c r="Y1184" s="2027"/>
      <c r="Z1184" s="2027"/>
      <c r="AA1184" s="2027"/>
      <c r="AB1184" s="2027"/>
      <c r="AC1184" s="2027"/>
      <c r="AD1184" s="2027"/>
      <c r="AE1184" s="2027"/>
      <c r="AF1184" s="2027"/>
    </row>
    <row r="1185" spans="1:32" ht="14.1" customHeight="1">
      <c r="A1185" s="2027"/>
      <c r="B1185" s="2033" t="s">
        <v>5112</v>
      </c>
      <c r="C1185" s="2033"/>
      <c r="D1185" s="2033"/>
      <c r="E1185" s="2033"/>
      <c r="F1185" s="2033"/>
      <c r="G1185" s="2033"/>
      <c r="H1185" s="2033"/>
      <c r="I1185" s="2033"/>
      <c r="J1185" s="2033"/>
      <c r="K1185" s="2033"/>
      <c r="L1185" s="2033"/>
      <c r="M1185" s="2011"/>
      <c r="N1185" s="2011"/>
      <c r="O1185" s="2011"/>
      <c r="P1185" s="2011"/>
      <c r="Q1185" s="2027"/>
      <c r="R1185" s="2810"/>
      <c r="S1185" s="2027"/>
      <c r="T1185" s="2462"/>
      <c r="U1185" s="2462"/>
      <c r="V1185" s="2027"/>
      <c r="W1185" s="2027"/>
      <c r="X1185" s="2027"/>
      <c r="Y1185" s="2027"/>
      <c r="Z1185" s="2027"/>
      <c r="AA1185" s="2027"/>
      <c r="AB1185" s="2027"/>
      <c r="AC1185" s="2027"/>
      <c r="AD1185" s="2027"/>
      <c r="AE1185" s="2027"/>
      <c r="AF1185" s="2027"/>
    </row>
    <row r="1186" spans="1:32" ht="15">
      <c r="A1186" s="2033"/>
      <c r="B1186" s="2815" t="s">
        <v>1839</v>
      </c>
      <c r="C1186" s="2034" t="s">
        <v>4959</v>
      </c>
      <c r="D1186" s="2034"/>
      <c r="E1186" s="2034"/>
      <c r="F1186" s="2034"/>
      <c r="G1186" s="2034"/>
      <c r="H1186" s="2034"/>
      <c r="I1186" s="2034"/>
      <c r="J1186" s="2034"/>
      <c r="K1186" s="2034"/>
      <c r="L1186" s="2034"/>
      <c r="M1186" s="2032"/>
      <c r="N1186" s="2818"/>
      <c r="O1186" s="2466" t="str">
        <f>'Part VIII Scoring Criteria'!O29</f>
        <v>N/a</v>
      </c>
      <c r="P1186" s="2817"/>
      <c r="Q1186" s="2033"/>
      <c r="R1186" s="2819"/>
      <c r="S1186" s="2033"/>
      <c r="T1186" s="2820"/>
      <c r="U1186" s="2820"/>
      <c r="V1186" s="2033"/>
      <c r="W1186" s="2033"/>
      <c r="X1186" s="2033"/>
      <c r="Y1186" s="2033"/>
      <c r="Z1186" s="2033"/>
      <c r="AA1186" s="2033"/>
      <c r="AB1186" s="2033"/>
      <c r="AC1186" s="2033"/>
      <c r="AD1186" s="2033"/>
      <c r="AE1186" s="2033"/>
      <c r="AF1186" s="2033"/>
    </row>
    <row r="1187" spans="1:32" ht="15">
      <c r="A1187" s="2033"/>
      <c r="B1187" s="2815" t="s">
        <v>1841</v>
      </c>
      <c r="C1187" s="2034" t="s">
        <v>4960</v>
      </c>
      <c r="D1187" s="2034"/>
      <c r="E1187" s="2034"/>
      <c r="F1187" s="2034"/>
      <c r="G1187" s="2034"/>
      <c r="H1187" s="2034"/>
      <c r="I1187" s="2034"/>
      <c r="J1187" s="2034"/>
      <c r="K1187" s="2034"/>
      <c r="L1187" s="2034"/>
      <c r="M1187" s="2032"/>
      <c r="N1187" s="2818"/>
      <c r="O1187" s="2466" t="str">
        <f>'Part VIII Scoring Criteria'!O30</f>
        <v>N/a</v>
      </c>
      <c r="P1187" s="2817"/>
      <c r="Q1187" s="2033"/>
      <c r="R1187" s="2819"/>
      <c r="S1187" s="2033"/>
      <c r="T1187" s="2820"/>
      <c r="U1187" s="2820"/>
      <c r="V1187" s="2033"/>
      <c r="W1187" s="2033"/>
      <c r="X1187" s="2033"/>
      <c r="Y1187" s="2033"/>
      <c r="Z1187" s="2033"/>
      <c r="AA1187" s="2033"/>
      <c r="AB1187" s="2033"/>
      <c r="AC1187" s="2033"/>
      <c r="AD1187" s="2033"/>
      <c r="AE1187" s="2033"/>
      <c r="AF1187" s="2033"/>
    </row>
    <row r="1188" spans="1:32" ht="15">
      <c r="A1188" s="2033"/>
      <c r="B1188" s="2034" t="s">
        <v>4961</v>
      </c>
      <c r="C1188" s="2033"/>
      <c r="D1188" s="2034"/>
      <c r="E1188" s="2034"/>
      <c r="F1188" s="2034"/>
      <c r="G1188" s="2034"/>
      <c r="H1188" s="2034"/>
      <c r="I1188" s="2033"/>
      <c r="J1188" s="1996" t="str">
        <f>'Part VIII Scoring Criteria'!J31</f>
        <v>n/a</v>
      </c>
      <c r="K1188" s="1996"/>
      <c r="L1188" s="1996"/>
      <c r="M1188" s="1996"/>
      <c r="N1188" s="2818"/>
      <c r="O1188" s="2818"/>
      <c r="P1188" s="2818"/>
      <c r="Q1188" s="2033"/>
      <c r="R1188" s="2819"/>
      <c r="S1188" s="2033"/>
      <c r="T1188" s="2820"/>
      <c r="U1188" s="2820"/>
      <c r="V1188" s="2033"/>
      <c r="W1188" s="2033"/>
      <c r="X1188" s="2033"/>
      <c r="Y1188" s="2033"/>
      <c r="Z1188" s="2033"/>
      <c r="AA1188" s="2033"/>
      <c r="AB1188" s="2033"/>
      <c r="AC1188" s="2033"/>
      <c r="AD1188" s="2033"/>
      <c r="AE1188" s="2033"/>
      <c r="AF1188" s="2033"/>
    </row>
    <row r="1189" spans="1:32" ht="14.1" customHeight="1">
      <c r="A1189" s="2033"/>
      <c r="B1189" s="2815" t="s">
        <v>2326</v>
      </c>
      <c r="C1189" s="2033" t="s">
        <v>4962</v>
      </c>
      <c r="D1189" s="2033"/>
      <c r="E1189" s="2033"/>
      <c r="F1189" s="2033"/>
      <c r="G1189" s="2033"/>
      <c r="H1189" s="2033"/>
      <c r="I1189" s="2033"/>
      <c r="J1189" s="2033"/>
      <c r="K1189" s="2033"/>
      <c r="L1189" s="2033"/>
      <c r="M1189" s="2032"/>
      <c r="N1189" s="2818"/>
      <c r="O1189" s="2466" t="str">
        <f>'Part VIII Scoring Criteria'!O32</f>
        <v>Yes</v>
      </c>
      <c r="P1189" s="2817"/>
      <c r="Q1189" s="2033"/>
      <c r="R1189" s="2819"/>
      <c r="S1189" s="2033"/>
      <c r="T1189" s="2820"/>
      <c r="U1189" s="2820"/>
      <c r="V1189" s="2033"/>
      <c r="W1189" s="2033"/>
      <c r="X1189" s="2033"/>
      <c r="Y1189" s="2033"/>
      <c r="Z1189" s="2033"/>
      <c r="AA1189" s="2033"/>
      <c r="AB1189" s="2033"/>
      <c r="AC1189" s="2033"/>
      <c r="AD1189" s="2033"/>
      <c r="AE1189" s="2033"/>
      <c r="AF1189" s="2033"/>
    </row>
    <row r="1190" spans="1:32" ht="15">
      <c r="A1190" s="1997"/>
      <c r="B1190" s="2821" t="s">
        <v>1725</v>
      </c>
      <c r="C1190" s="1997"/>
      <c r="D1190" s="2821"/>
      <c r="E1190" s="2034"/>
      <c r="F1190" s="2034"/>
      <c r="G1190" s="2034"/>
      <c r="H1190" s="2034"/>
      <c r="I1190" s="2034"/>
      <c r="J1190" s="2034"/>
      <c r="K1190" s="2034"/>
      <c r="L1190" s="2034"/>
      <c r="M1190" s="2034"/>
      <c r="N1190" s="2032"/>
      <c r="O1190" s="2817"/>
      <c r="P1190" s="2466"/>
      <c r="Q1190" s="2027"/>
      <c r="R1190" s="2027"/>
      <c r="S1190" s="2027"/>
      <c r="T1190" s="2027"/>
      <c r="U1190" s="2027"/>
      <c r="V1190" s="2027"/>
      <c r="W1190" s="2027"/>
      <c r="X1190" s="2027"/>
      <c r="Y1190" s="2027"/>
      <c r="Z1190" s="2027"/>
      <c r="AA1190" s="2027"/>
      <c r="AB1190" s="2027"/>
      <c r="AC1190" s="2027"/>
      <c r="AD1190" s="2027"/>
      <c r="AE1190" s="2027"/>
      <c r="AF1190" s="2027"/>
    </row>
    <row r="1191" spans="1:32" ht="15">
      <c r="A1191" s="2033"/>
      <c r="B1191" s="2033"/>
      <c r="C1191" s="2033"/>
      <c r="D1191" s="2033"/>
      <c r="E1191" s="2033"/>
      <c r="F1191" s="2033"/>
      <c r="G1191" s="2033"/>
      <c r="H1191" s="2033"/>
      <c r="I1191" s="2033"/>
      <c r="J1191" s="2033"/>
      <c r="K1191" s="2033"/>
      <c r="L1191" s="2033"/>
      <c r="M1191" s="2033"/>
      <c r="N1191" s="2033"/>
      <c r="O1191" s="2033"/>
      <c r="P1191" s="2033"/>
      <c r="Q1191" s="1996"/>
      <c r="R1191" s="2027"/>
      <c r="S1191" s="2027"/>
      <c r="T1191" s="2027"/>
      <c r="U1191" s="2027"/>
      <c r="V1191" s="2027"/>
      <c r="W1191" s="2027"/>
      <c r="X1191" s="2027"/>
      <c r="Y1191" s="2027"/>
      <c r="Z1191" s="2027"/>
      <c r="AA1191" s="2027"/>
      <c r="AB1191" s="2027"/>
      <c r="AC1191" s="2027"/>
      <c r="AD1191" s="2027"/>
      <c r="AE1191" s="2027"/>
      <c r="AF1191" s="2027"/>
    </row>
    <row r="1192" spans="1:32" ht="15">
      <c r="A1192" s="1997"/>
      <c r="B1192" s="2469"/>
      <c r="C1192" s="1997"/>
      <c r="D1192" s="1996"/>
      <c r="E1192" s="1997"/>
      <c r="F1192" s="1997"/>
      <c r="G1192" s="2470"/>
      <c r="H1192" s="2470"/>
      <c r="I1192" s="2470"/>
      <c r="J1192" s="2470"/>
      <c r="K1192" s="2470"/>
      <c r="L1192" s="2470"/>
      <c r="M1192" s="2011"/>
      <c r="N1192" s="2016"/>
      <c r="O1192" s="2026"/>
      <c r="P1192" s="2466"/>
      <c r="Q1192" s="2027"/>
      <c r="R1192" s="1997"/>
      <c r="S1192" s="1997"/>
      <c r="T1192" s="1997"/>
      <c r="U1192" s="1997"/>
      <c r="V1192" s="1997"/>
      <c r="W1192" s="1997"/>
      <c r="X1192" s="2471"/>
      <c r="Y1192" s="2471"/>
      <c r="Z1192" s="2471"/>
      <c r="AA1192" s="2471"/>
      <c r="AB1192" s="2471"/>
      <c r="AC1192" s="2471"/>
      <c r="AD1192" s="2471"/>
      <c r="AE1192" s="2471"/>
      <c r="AF1192" s="2471"/>
    </row>
    <row r="1193" spans="1:32" ht="15">
      <c r="A1193" s="2027"/>
      <c r="B1193" s="2027"/>
      <c r="C1193" s="2027"/>
      <c r="D1193" s="2027"/>
      <c r="E1193" s="2027"/>
      <c r="F1193" s="2027"/>
      <c r="G1193" s="2027"/>
      <c r="H1193" s="2027"/>
      <c r="I1193" s="2027"/>
      <c r="J1193" s="2027"/>
      <c r="K1193" s="2027"/>
      <c r="L1193" s="2027"/>
      <c r="M1193" s="2027"/>
      <c r="N1193" s="2016"/>
      <c r="O1193" s="2029"/>
      <c r="P1193" s="2029"/>
      <c r="Q1193" s="2027"/>
      <c r="R1193" s="2027"/>
      <c r="S1193" s="2027"/>
      <c r="T1193" s="2462"/>
      <c r="U1193" s="2462"/>
      <c r="V1193" s="2027"/>
      <c r="W1193" s="2027"/>
      <c r="X1193" s="2027"/>
      <c r="Y1193" s="2027"/>
      <c r="Z1193" s="2027"/>
      <c r="AA1193" s="2027"/>
      <c r="AB1193" s="2027"/>
      <c r="AC1193" s="2027"/>
      <c r="AD1193" s="2027"/>
      <c r="AE1193" s="2027"/>
      <c r="AF1193" s="2027"/>
    </row>
    <row r="1194" spans="1:32" ht="15">
      <c r="A1194" s="2461" t="s">
        <v>1661</v>
      </c>
      <c r="B1194" s="2462" t="s">
        <v>4474</v>
      </c>
      <c r="C1194" s="1997"/>
      <c r="D1194" s="2462"/>
      <c r="E1194" s="2462"/>
      <c r="F1194" s="1997"/>
      <c r="G1194" s="2822"/>
      <c r="H1194" s="1997"/>
      <c r="I1194" s="1997"/>
      <c r="J1194" s="1997"/>
      <c r="K1194" s="1997"/>
      <c r="L1194" s="2469" t="str">
        <f>IF(AND(O1201&gt;0,O1203&gt;0), "Choose only one option!","")</f>
        <v/>
      </c>
      <c r="M1194" s="2466">
        <v>2</v>
      </c>
      <c r="N1194" s="2011"/>
      <c r="O1194" s="2026">
        <f>'Part VIII Scoring Criteria'!O37</f>
        <v>2</v>
      </c>
      <c r="P1194" s="2026">
        <f>'Part VIII Scoring Criteria'!P37</f>
        <v>0</v>
      </c>
      <c r="Q1194" s="2466" t="s">
        <v>415</v>
      </c>
      <c r="R1194" s="1996"/>
      <c r="S1194" s="1996"/>
      <c r="T1194" s="1996"/>
      <c r="U1194" s="1996"/>
      <c r="V1194" s="1996"/>
      <c r="W1194" s="1997"/>
      <c r="X1194" s="1997"/>
      <c r="Y1194" s="1997"/>
      <c r="Z1194" s="1997"/>
      <c r="AA1194" s="1997"/>
      <c r="AB1194" s="1997"/>
      <c r="AC1194" s="1997"/>
      <c r="AD1194" s="1997"/>
      <c r="AE1194" s="1997"/>
      <c r="AF1194" s="1997"/>
    </row>
    <row r="1195" spans="1:32" ht="14.1" customHeight="1">
      <c r="A1195" s="2461"/>
      <c r="B1195" s="1997" t="s">
        <v>4725</v>
      </c>
      <c r="C1195" s="1997"/>
      <c r="D1195" s="2462"/>
      <c r="E1195" s="2462"/>
      <c r="F1195" s="1997"/>
      <c r="G1195" s="1997"/>
      <c r="H1195" s="1997"/>
      <c r="I1195" s="1997"/>
      <c r="J1195" s="2823"/>
      <c r="K1195" s="1997"/>
      <c r="L1195" s="1997"/>
      <c r="M1195" s="2466"/>
      <c r="N1195" s="1997"/>
      <c r="O1195" s="2824" t="s">
        <v>4726</v>
      </c>
      <c r="P1195" s="2824" t="s">
        <v>3066</v>
      </c>
      <c r="Q1195" s="2466"/>
      <c r="R1195" s="1996"/>
      <c r="S1195" s="1996"/>
      <c r="T1195" s="1996"/>
      <c r="U1195" s="1996"/>
      <c r="V1195" s="1996"/>
      <c r="W1195" s="2027"/>
      <c r="X1195" s="2027"/>
      <c r="Y1195" s="1997"/>
      <c r="Z1195" s="1997"/>
      <c r="AA1195" s="1997"/>
      <c r="AB1195" s="1997"/>
      <c r="AC1195" s="1997"/>
      <c r="AD1195" s="1997"/>
      <c r="AE1195" s="1997"/>
      <c r="AF1195" s="1997"/>
    </row>
    <row r="1196" spans="1:32" ht="15">
      <c r="A1196" s="2461"/>
      <c r="B1196" s="1997"/>
      <c r="C1196" s="1997" t="s">
        <v>4587</v>
      </c>
      <c r="D1196" s="1997"/>
      <c r="E1196" s="1997"/>
      <c r="F1196" s="1997"/>
      <c r="G1196" s="1997" t="str">
        <f>'Part VIII Scoring Criteria'!G39</f>
        <v>TBD</v>
      </c>
      <c r="H1196" s="1997"/>
      <c r="I1196" s="1997"/>
      <c r="J1196" s="1997"/>
      <c r="K1196" s="1997"/>
      <c r="L1196" s="1997"/>
      <c r="M1196" s="2466"/>
      <c r="N1196" s="1997"/>
      <c r="O1196" s="2824"/>
      <c r="P1196" s="2824"/>
      <c r="Q1196" s="2466"/>
      <c r="R1196" s="1997"/>
      <c r="S1196" s="1997"/>
      <c r="T1196" s="1997"/>
      <c r="U1196" s="1997"/>
      <c r="V1196" s="1996"/>
      <c r="W1196" s="2027"/>
      <c r="X1196" s="2027"/>
      <c r="Y1196" s="1997"/>
      <c r="Z1196" s="1997"/>
      <c r="AA1196" s="1997"/>
      <c r="AB1196" s="1997"/>
      <c r="AC1196" s="1997"/>
      <c r="AD1196" s="1997"/>
      <c r="AE1196" s="1997"/>
      <c r="AF1196" s="1997"/>
    </row>
    <row r="1197" spans="1:32" ht="15">
      <c r="A1197" s="2461"/>
      <c r="B1197" s="1997"/>
      <c r="C1197" s="1997" t="s">
        <v>4963</v>
      </c>
      <c r="D1197" s="1997"/>
      <c r="E1197" s="1997"/>
      <c r="F1197" s="1997"/>
      <c r="G1197" s="1997" t="str">
        <f>'Part VIII Scoring Criteria'!G40</f>
        <v>For Profit</v>
      </c>
      <c r="H1197" s="1997"/>
      <c r="I1197" s="1997"/>
      <c r="J1197" s="1997"/>
      <c r="K1197" s="1997"/>
      <c r="L1197" s="1997"/>
      <c r="M1197" s="2466"/>
      <c r="N1197" s="1997"/>
      <c r="O1197" s="2824"/>
      <c r="P1197" s="2824"/>
      <c r="Q1197" s="2466"/>
      <c r="R1197" s="1997"/>
      <c r="S1197" s="1997"/>
      <c r="T1197" s="1997"/>
      <c r="U1197" s="1997"/>
      <c r="V1197" s="1996"/>
      <c r="W1197" s="2027"/>
      <c r="X1197" s="2027"/>
      <c r="Y1197" s="1997"/>
      <c r="Z1197" s="1997"/>
      <c r="AA1197" s="1997"/>
      <c r="AB1197" s="1997"/>
      <c r="AC1197" s="1997"/>
      <c r="AD1197" s="1997"/>
      <c r="AE1197" s="1997"/>
      <c r="AF1197" s="1997"/>
    </row>
    <row r="1198" spans="1:32" ht="15">
      <c r="A1198" s="2461"/>
      <c r="B1198" s="1997"/>
      <c r="C1198" s="1997" t="s">
        <v>4586</v>
      </c>
      <c r="D1198" s="1997"/>
      <c r="E1198" s="1997"/>
      <c r="F1198" s="1997"/>
      <c r="G1198" s="1997" t="str">
        <f>'Part VIII Scoring Criteria'!G41</f>
        <v>TBD</v>
      </c>
      <c r="H1198" s="1997"/>
      <c r="I1198" s="1997"/>
      <c r="J1198" s="1997"/>
      <c r="K1198" s="1997"/>
      <c r="L1198" s="1997"/>
      <c r="M1198" s="2466"/>
      <c r="N1198" s="1997"/>
      <c r="O1198" s="2824"/>
      <c r="P1198" s="2824"/>
      <c r="Q1198" s="2466"/>
      <c r="R1198" s="1997"/>
      <c r="S1198" s="1997"/>
      <c r="T1198" s="1997"/>
      <c r="U1198" s="1997"/>
      <c r="V1198" s="1996"/>
      <c r="W1198" s="2027"/>
      <c r="X1198" s="2027"/>
      <c r="Y1198" s="1997"/>
      <c r="Z1198" s="1997"/>
      <c r="AA1198" s="1997"/>
      <c r="AB1198" s="1997"/>
      <c r="AC1198" s="1997"/>
      <c r="AD1198" s="1997"/>
      <c r="AE1198" s="1997"/>
      <c r="AF1198" s="1997"/>
    </row>
    <row r="1199" spans="1:32" ht="14.1" customHeight="1">
      <c r="A1199" s="2825"/>
      <c r="B1199" s="2464"/>
      <c r="C1199" s="1997" t="s">
        <v>4857</v>
      </c>
      <c r="D1199" s="1997"/>
      <c r="E1199" s="1997"/>
      <c r="F1199" s="1997"/>
      <c r="G1199" s="1997"/>
      <c r="H1199" s="1997"/>
      <c r="I1199" s="1997"/>
      <c r="J1199" s="1997"/>
      <c r="K1199" s="1997"/>
      <c r="L1199" s="1997"/>
      <c r="M1199" s="1997"/>
      <c r="N1199" s="2464"/>
      <c r="O1199" s="2011" t="str">
        <f>'Part VIII Scoring Criteria'!O42</f>
        <v>Yes</v>
      </c>
      <c r="P1199" s="2011"/>
      <c r="Q1199" s="2466"/>
      <c r="R1199" s="1997"/>
      <c r="S1199" s="1997"/>
      <c r="T1199" s="1997"/>
      <c r="U1199" s="1997"/>
      <c r="V1199" s="2027"/>
      <c r="W1199" s="2027"/>
      <c r="X1199" s="2027"/>
      <c r="Y1199" s="2027"/>
      <c r="Z1199" s="2027"/>
      <c r="AA1199" s="2027"/>
      <c r="AB1199" s="2027"/>
      <c r="AC1199" s="2027"/>
      <c r="AD1199" s="2027"/>
      <c r="AE1199" s="2027"/>
      <c r="AF1199" s="2027"/>
    </row>
    <row r="1200" spans="1:32" ht="15">
      <c r="A1200" s="1997"/>
      <c r="B1200" s="2027"/>
      <c r="C1200" s="2027"/>
      <c r="D1200" s="1997"/>
      <c r="E1200" s="1997"/>
      <c r="F1200" s="2466"/>
      <c r="G1200" s="2466"/>
      <c r="H1200" s="2466"/>
      <c r="I1200" s="2466"/>
      <c r="J1200" s="2030"/>
      <c r="K1200" s="2030"/>
      <c r="L1200" s="2030"/>
      <c r="M1200" s="2011"/>
      <c r="N1200" s="2466"/>
      <c r="O1200" s="2029"/>
      <c r="P1200" s="2026"/>
      <c r="Q1200" s="2027"/>
      <c r="R1200" s="2027"/>
      <c r="S1200" s="2027"/>
      <c r="T1200" s="2027"/>
      <c r="U1200" s="2027"/>
      <c r="V1200" s="2027"/>
      <c r="W1200" s="2027"/>
      <c r="X1200" s="2027"/>
      <c r="Y1200" s="2027"/>
      <c r="Z1200" s="2027"/>
      <c r="AA1200" s="2027"/>
      <c r="AB1200" s="2027"/>
      <c r="AC1200" s="2027"/>
      <c r="AD1200" s="2027"/>
      <c r="AE1200" s="2027"/>
      <c r="AF1200" s="2027"/>
    </row>
    <row r="1201" spans="1:32" ht="15">
      <c r="A1201" s="2466" t="s">
        <v>1836</v>
      </c>
      <c r="B1201" s="2826" t="s">
        <v>4475</v>
      </c>
      <c r="C1201" s="2027"/>
      <c r="D1201" s="2034"/>
      <c r="E1201" s="2034"/>
      <c r="F1201" s="2027"/>
      <c r="G1201" s="2027"/>
      <c r="H1201" s="2034"/>
      <c r="I1201" s="2027"/>
      <c r="J1201" s="2027"/>
      <c r="K1201" s="2027"/>
      <c r="L1201" s="2034"/>
      <c r="M1201" s="2016">
        <v>2</v>
      </c>
      <c r="N1201" s="2464"/>
      <c r="O1201" s="2026">
        <f>'Part VIII Scoring Criteria'!O44</f>
        <v>2</v>
      </c>
      <c r="P1201" s="2026">
        <f>'Part VIII Scoring Criteria'!P44</f>
        <v>0</v>
      </c>
      <c r="Q1201" s="2029" t="str">
        <f>IF(OR(O1201=0,O1201="",O1201=$M1201),"","Check!")</f>
        <v/>
      </c>
      <c r="R1201" s="2812"/>
      <c r="S1201" s="1996"/>
      <c r="T1201" s="1996"/>
      <c r="U1201" s="1996"/>
      <c r="V1201" s="1996"/>
      <c r="W1201" s="2027"/>
      <c r="X1201" s="2027"/>
      <c r="Y1201" s="2027"/>
      <c r="Z1201" s="2027"/>
      <c r="AA1201" s="2027"/>
      <c r="AB1201" s="2027"/>
      <c r="AC1201" s="2027"/>
      <c r="AD1201" s="2027"/>
      <c r="AE1201" s="2027"/>
      <c r="AF1201" s="2027"/>
    </row>
    <row r="1202" spans="1:32" ht="15">
      <c r="A1202" s="2827"/>
      <c r="B1202" s="2034" t="s">
        <v>4964</v>
      </c>
      <c r="C1202" s="2033"/>
      <c r="D1202" s="2033"/>
      <c r="E1202" s="2033"/>
      <c r="F1202" s="2033"/>
      <c r="G1202" s="2033"/>
      <c r="H1202" s="2033"/>
      <c r="I1202" s="2033"/>
      <c r="J1202" s="2033"/>
      <c r="K1202" s="2033"/>
      <c r="L1202" s="2033"/>
      <c r="M1202" s="2033"/>
      <c r="N1202" s="2814"/>
      <c r="O1202" s="2011" t="str">
        <f>'Part VIII Scoring Criteria'!O45</f>
        <v>Yes</v>
      </c>
      <c r="P1202" s="2011"/>
      <c r="Q1202" s="2817"/>
      <c r="R1202" s="2033"/>
      <c r="S1202" s="2033"/>
      <c r="T1202" s="2033"/>
      <c r="U1202" s="2033"/>
      <c r="V1202" s="2033"/>
      <c r="W1202" s="2033"/>
      <c r="X1202" s="2033"/>
      <c r="Y1202" s="2033"/>
      <c r="Z1202" s="2033"/>
      <c r="AA1202" s="2033"/>
      <c r="AB1202" s="2033"/>
      <c r="AC1202" s="2033"/>
      <c r="AD1202" s="2033"/>
      <c r="AE1202" s="2033"/>
      <c r="AF1202" s="2033"/>
    </row>
    <row r="1203" spans="1:32" ht="15">
      <c r="A1203" s="2466" t="s">
        <v>1838</v>
      </c>
      <c r="B1203" s="2826" t="s">
        <v>4476</v>
      </c>
      <c r="C1203" s="2027"/>
      <c r="D1203" s="2034"/>
      <c r="E1203" s="2027"/>
      <c r="F1203" s="2027"/>
      <c r="G1203" s="2027"/>
      <c r="H1203" s="2027"/>
      <c r="I1203" s="2027"/>
      <c r="J1203" s="2027"/>
      <c r="K1203" s="2027"/>
      <c r="L1203" s="2034"/>
      <c r="M1203" s="2016">
        <v>2</v>
      </c>
      <c r="N1203" s="2464"/>
      <c r="O1203" s="2026">
        <f>'Part VIII Scoring Criteria'!O46</f>
        <v>0</v>
      </c>
      <c r="P1203" s="2026">
        <f>'Part VIII Scoring Criteria'!P46</f>
        <v>0</v>
      </c>
      <c r="Q1203" s="2029" t="str">
        <f>IF(OR(O1203=0,O1203="",O1203=$M1203),"","Check!")</f>
        <v/>
      </c>
      <c r="R1203" s="2812"/>
      <c r="S1203" s="1996"/>
      <c r="T1203" s="1996"/>
      <c r="U1203" s="1996"/>
      <c r="V1203" s="1996"/>
      <c r="W1203" s="2027"/>
      <c r="X1203" s="2027"/>
      <c r="Y1203" s="2027"/>
      <c r="Z1203" s="2027"/>
      <c r="AA1203" s="2027"/>
      <c r="AB1203" s="2027"/>
      <c r="AC1203" s="2027"/>
      <c r="AD1203" s="2027"/>
      <c r="AE1203" s="2027"/>
      <c r="AF1203" s="2027"/>
    </row>
    <row r="1204" spans="1:32" ht="15">
      <c r="A1204" s="2466"/>
      <c r="B1204" s="1997" t="s">
        <v>4965</v>
      </c>
      <c r="C1204" s="2027"/>
      <c r="D1204" s="2034"/>
      <c r="E1204" s="2027"/>
      <c r="F1204" s="2027"/>
      <c r="G1204" s="2027"/>
      <c r="H1204" s="2027"/>
      <c r="I1204" s="2027"/>
      <c r="J1204" s="2027"/>
      <c r="K1204" s="2027"/>
      <c r="L1204" s="2034"/>
      <c r="M1204" s="2016"/>
      <c r="N1204" s="2464"/>
      <c r="O1204" s="2011" t="str">
        <f>'Part VIII Scoring Criteria'!O47</f>
        <v>N/a</v>
      </c>
      <c r="P1204" s="2011"/>
      <c r="Q1204" s="2029"/>
      <c r="R1204" s="2812"/>
      <c r="S1204" s="1996"/>
      <c r="T1204" s="1996"/>
      <c r="U1204" s="1996"/>
      <c r="V1204" s="1996"/>
      <c r="W1204" s="2027"/>
      <c r="X1204" s="2027"/>
      <c r="Y1204" s="2027"/>
      <c r="Z1204" s="2027"/>
      <c r="AA1204" s="2027"/>
      <c r="AB1204" s="2027"/>
      <c r="AC1204" s="2027"/>
      <c r="AD1204" s="2027"/>
      <c r="AE1204" s="2027"/>
      <c r="AF1204" s="2027"/>
    </row>
    <row r="1205" spans="1:32" ht="14.1" customHeight="1">
      <c r="A1205" s="2466"/>
      <c r="B1205" s="2033" t="s">
        <v>4858</v>
      </c>
      <c r="C1205" s="2033"/>
      <c r="D1205" s="2033"/>
      <c r="E1205" s="2033"/>
      <c r="F1205" s="2033"/>
      <c r="G1205" s="2033"/>
      <c r="H1205" s="2033"/>
      <c r="I1205" s="2033"/>
      <c r="J1205" s="2033"/>
      <c r="K1205" s="2033"/>
      <c r="L1205" s="2033"/>
      <c r="M1205" s="2033"/>
      <c r="N1205" s="2464"/>
      <c r="O1205" s="2011" t="str">
        <f>'Part VIII Scoring Criteria'!O48</f>
        <v>N/a</v>
      </c>
      <c r="P1205" s="2032"/>
      <c r="Q1205" s="2029"/>
      <c r="R1205" s="2812"/>
      <c r="S1205" s="1996"/>
      <c r="T1205" s="1996"/>
      <c r="U1205" s="1996"/>
      <c r="V1205" s="1996"/>
      <c r="W1205" s="2027"/>
      <c r="X1205" s="2027"/>
      <c r="Y1205" s="2027"/>
      <c r="Z1205" s="2027"/>
      <c r="AA1205" s="2027"/>
      <c r="AB1205" s="2027"/>
      <c r="AC1205" s="2027"/>
      <c r="AD1205" s="2027"/>
      <c r="AE1205" s="2027"/>
      <c r="AF1205" s="2027"/>
    </row>
    <row r="1206" spans="1:32" ht="15">
      <c r="A1206" s="1997"/>
      <c r="B1206" s="2806" t="s">
        <v>5113</v>
      </c>
      <c r="C1206" s="1997"/>
      <c r="D1206" s="1997"/>
      <c r="E1206" s="1997"/>
      <c r="F1206" s="1997"/>
      <c r="G1206" s="1997"/>
      <c r="H1206" s="1997"/>
      <c r="I1206" s="1997"/>
      <c r="J1206" s="1997"/>
      <c r="K1206" s="1997"/>
      <c r="L1206" s="2027"/>
      <c r="M1206" s="2011"/>
      <c r="N1206" s="2016"/>
      <c r="O1206" s="2026"/>
      <c r="P1206" s="2029"/>
      <c r="Q1206" s="2027"/>
      <c r="R1206" s="1996"/>
      <c r="S1206" s="1996"/>
      <c r="T1206" s="1996"/>
      <c r="U1206" s="1996"/>
      <c r="V1206" s="1996"/>
      <c r="W1206" s="2027"/>
      <c r="X1206" s="2027"/>
      <c r="Y1206" s="2027"/>
      <c r="Z1206" s="2027"/>
      <c r="AA1206" s="2027"/>
      <c r="AB1206" s="2027"/>
      <c r="AC1206" s="2027"/>
      <c r="AD1206" s="2027"/>
      <c r="AE1206" s="2027"/>
      <c r="AF1206" s="2027"/>
    </row>
    <row r="1207" spans="1:32" ht="15">
      <c r="A1207" s="2821" t="str">
        <f>'Part VIII Scoring Criteria'!A50</f>
        <v>Applicant commits to using a QB for 10% of construction costs, under part A</v>
      </c>
      <c r="B1207" s="2821"/>
      <c r="C1207" s="2821"/>
      <c r="D1207" s="2821"/>
      <c r="E1207" s="2821"/>
      <c r="F1207" s="2821"/>
      <c r="G1207" s="2821"/>
      <c r="H1207" s="2821"/>
      <c r="I1207" s="2821"/>
      <c r="J1207" s="2821"/>
      <c r="K1207" s="2821"/>
      <c r="L1207" s="2821"/>
      <c r="M1207" s="2821"/>
      <c r="N1207" s="2821"/>
      <c r="O1207" s="2821"/>
      <c r="P1207" s="2821"/>
      <c r="Q1207" s="1996"/>
      <c r="R1207" s="2027"/>
      <c r="S1207" s="2027"/>
      <c r="T1207" s="2027"/>
      <c r="U1207" s="2027"/>
      <c r="V1207" s="2027"/>
      <c r="W1207" s="2027"/>
      <c r="X1207" s="2027"/>
      <c r="Y1207" s="2027"/>
      <c r="Z1207" s="2027"/>
      <c r="AA1207" s="2027"/>
      <c r="AB1207" s="2027"/>
      <c r="AC1207" s="2027"/>
      <c r="AD1207" s="2027"/>
      <c r="AE1207" s="2027"/>
      <c r="AF1207" s="2027"/>
    </row>
    <row r="1208" spans="1:32" ht="15">
      <c r="A1208" s="1997"/>
      <c r="B1208" s="2821" t="s">
        <v>1725</v>
      </c>
      <c r="C1208" s="1997"/>
      <c r="D1208" s="2821"/>
      <c r="E1208" s="2034"/>
      <c r="F1208" s="2034"/>
      <c r="G1208" s="2034"/>
      <c r="H1208" s="2034"/>
      <c r="I1208" s="2034"/>
      <c r="J1208" s="2034"/>
      <c r="K1208" s="2034"/>
      <c r="L1208" s="2034"/>
      <c r="M1208" s="2034"/>
      <c r="N1208" s="2032"/>
      <c r="O1208" s="2817"/>
      <c r="P1208" s="2466"/>
      <c r="Q1208" s="2027"/>
      <c r="R1208" s="2027"/>
      <c r="S1208" s="2027"/>
      <c r="T1208" s="2027"/>
      <c r="U1208" s="2027"/>
      <c r="V1208" s="2027"/>
      <c r="W1208" s="2027"/>
      <c r="X1208" s="2027"/>
      <c r="Y1208" s="2027"/>
      <c r="Z1208" s="2027"/>
      <c r="AA1208" s="2027"/>
      <c r="AB1208" s="2027"/>
      <c r="AC1208" s="2027"/>
      <c r="AD1208" s="2027"/>
      <c r="AE1208" s="2027"/>
      <c r="AF1208" s="2027"/>
    </row>
    <row r="1209" spans="1:32" ht="15">
      <c r="A1209" s="2033"/>
      <c r="B1209" s="2033"/>
      <c r="C1209" s="2033"/>
      <c r="D1209" s="2033"/>
      <c r="E1209" s="2033"/>
      <c r="F1209" s="2033"/>
      <c r="G1209" s="2033"/>
      <c r="H1209" s="2033"/>
      <c r="I1209" s="2033"/>
      <c r="J1209" s="2033"/>
      <c r="K1209" s="2033"/>
      <c r="L1209" s="2033"/>
      <c r="M1209" s="2033"/>
      <c r="N1209" s="2033"/>
      <c r="O1209" s="2033"/>
      <c r="P1209" s="2033"/>
      <c r="Q1209" s="1996"/>
      <c r="R1209" s="2027"/>
      <c r="S1209" s="2027"/>
      <c r="T1209" s="2027"/>
      <c r="U1209" s="2027"/>
      <c r="V1209" s="2027"/>
      <c r="W1209" s="2027"/>
      <c r="X1209" s="2027"/>
      <c r="Y1209" s="2027"/>
      <c r="Z1209" s="2027"/>
      <c r="AA1209" s="2027"/>
      <c r="AB1209" s="2027"/>
      <c r="AC1209" s="2027"/>
      <c r="AD1209" s="2027"/>
      <c r="AE1209" s="2027"/>
      <c r="AF1209" s="2027"/>
    </row>
    <row r="1210" spans="1:32" ht="15">
      <c r="A1210" s="1997"/>
      <c r="B1210" s="2469"/>
      <c r="C1210" s="1997"/>
      <c r="D1210" s="1996"/>
      <c r="E1210" s="1997"/>
      <c r="F1210" s="1997"/>
      <c r="G1210" s="2470"/>
      <c r="H1210" s="2470"/>
      <c r="I1210" s="2470"/>
      <c r="J1210" s="2470"/>
      <c r="K1210" s="2470"/>
      <c r="L1210" s="2470"/>
      <c r="M1210" s="2011"/>
      <c r="N1210" s="2016"/>
      <c r="O1210" s="2026"/>
      <c r="P1210" s="2466"/>
      <c r="Q1210" s="2027"/>
      <c r="R1210" s="1997"/>
      <c r="S1210" s="1997"/>
      <c r="T1210" s="1997"/>
      <c r="U1210" s="1997"/>
      <c r="V1210" s="1997"/>
      <c r="W1210" s="1997"/>
      <c r="X1210" s="2471"/>
      <c r="Y1210" s="2471"/>
      <c r="Z1210" s="2471"/>
      <c r="AA1210" s="2471"/>
      <c r="AB1210" s="2471"/>
      <c r="AC1210" s="2471"/>
      <c r="AD1210" s="2471"/>
      <c r="AE1210" s="2471"/>
      <c r="AF1210" s="2471"/>
    </row>
    <row r="1211" spans="1:32" ht="15">
      <c r="A1211" s="2027"/>
      <c r="B1211" s="2027"/>
      <c r="C1211" s="2027"/>
      <c r="D1211" s="2027"/>
      <c r="E1211" s="2027"/>
      <c r="F1211" s="2027"/>
      <c r="G1211" s="2027"/>
      <c r="H1211" s="2027"/>
      <c r="I1211" s="2027"/>
      <c r="J1211" s="2027"/>
      <c r="K1211" s="2027"/>
      <c r="L1211" s="2027"/>
      <c r="M1211" s="2027"/>
      <c r="N1211" s="2016"/>
      <c r="O1211" s="2029"/>
      <c r="P1211" s="2029"/>
      <c r="Q1211" s="2027"/>
      <c r="R1211" s="2027"/>
      <c r="S1211" s="2027"/>
      <c r="T1211" s="2462"/>
      <c r="U1211" s="2462"/>
      <c r="V1211" s="2027"/>
      <c r="W1211" s="2027"/>
      <c r="X1211" s="2027"/>
      <c r="Y1211" s="2027"/>
      <c r="Z1211" s="2027"/>
      <c r="AA1211" s="2027"/>
      <c r="AB1211" s="2027"/>
      <c r="AC1211" s="2027"/>
      <c r="AD1211" s="2027"/>
      <c r="AE1211" s="2027"/>
      <c r="AF1211" s="2027"/>
    </row>
    <row r="1212" spans="1:32" ht="15">
      <c r="A1212" s="2461" t="s">
        <v>1663</v>
      </c>
      <c r="B1212" s="2462" t="s">
        <v>3260</v>
      </c>
      <c r="C1212" s="2027"/>
      <c r="D1212" s="2035"/>
      <c r="E1212" s="2035"/>
      <c r="F1212" s="1997"/>
      <c r="G1212" s="1997"/>
      <c r="H1212" s="1997"/>
      <c r="I1212" s="2027"/>
      <c r="J1212" s="2828"/>
      <c r="K1212" s="2466"/>
      <c r="L1212" s="2808" t="s">
        <v>4896</v>
      </c>
      <c r="M1212" s="2026">
        <v>5</v>
      </c>
      <c r="N1212" s="2011"/>
      <c r="O1212" s="2805">
        <f>'Part VIII Scoring Criteria'!O55</f>
        <v>2</v>
      </c>
      <c r="P1212" s="2805">
        <f>'Part VIII Scoring Criteria'!P55</f>
        <v>0</v>
      </c>
      <c r="Q1212" s="2466" t="s">
        <v>415</v>
      </c>
      <c r="R1212" s="2027"/>
      <c r="S1212" s="2027"/>
      <c r="T1212" s="2027"/>
      <c r="U1212" s="2027"/>
      <c r="V1212" s="2027"/>
      <c r="W1212" s="2027"/>
      <c r="X1212" s="2027"/>
      <c r="Y1212" s="2027"/>
      <c r="Z1212" s="2027"/>
      <c r="AA1212" s="2027"/>
      <c r="AB1212" s="2027"/>
      <c r="AC1212" s="2027"/>
      <c r="AD1212" s="2027"/>
      <c r="AE1212" s="2027"/>
      <c r="AF1212" s="2027"/>
    </row>
    <row r="1213" spans="1:32" ht="15">
      <c r="A1213" s="2829" t="s">
        <v>1836</v>
      </c>
      <c r="B1213" s="1996" t="s">
        <v>3261</v>
      </c>
      <c r="C1213" s="2027"/>
      <c r="D1213" s="2027"/>
      <c r="E1213" s="2027"/>
      <c r="F1213" s="2027"/>
      <c r="G1213" s="2027"/>
      <c r="H1213" s="2027"/>
      <c r="I1213" s="2027"/>
      <c r="J1213" s="2027"/>
      <c r="K1213" s="2027"/>
      <c r="L1213" s="2810" t="str">
        <f>IF(O1213&lt;=M1213,"","* * Check Score! * *")</f>
        <v/>
      </c>
      <c r="M1213" s="2011">
        <v>4</v>
      </c>
      <c r="N1213" s="2464"/>
      <c r="O1213" s="2026">
        <f>'Part VIII Scoring Criteria'!O56</f>
        <v>2</v>
      </c>
      <c r="P1213" s="2026"/>
      <c r="Q1213" s="2811" t="str">
        <f>IF(O1213&lt;=M1213,"","*CHECK!*")</f>
        <v/>
      </c>
      <c r="R1213" s="1996"/>
      <c r="S1213" s="1996"/>
      <c r="T1213" s="2800"/>
      <c r="U1213" s="2027"/>
      <c r="V1213" s="2027"/>
      <c r="W1213" s="2027"/>
      <c r="X1213" s="2027"/>
      <c r="Y1213" s="2027"/>
      <c r="Z1213" s="2027"/>
      <c r="AA1213" s="2027"/>
      <c r="AB1213" s="2027"/>
      <c r="AC1213" s="2027"/>
      <c r="AD1213" s="2027"/>
      <c r="AE1213" s="2027"/>
      <c r="AF1213" s="2027"/>
    </row>
    <row r="1214" spans="1:32" ht="14.1" customHeight="1">
      <c r="A1214" s="2829"/>
      <c r="B1214" s="2825" t="s">
        <v>4861</v>
      </c>
      <c r="C1214" s="2825"/>
      <c r="D1214" s="2825"/>
      <c r="E1214" s="2825"/>
      <c r="F1214" s="2825"/>
      <c r="G1214" s="2825"/>
      <c r="H1214" s="2825"/>
      <c r="I1214" s="2825"/>
      <c r="J1214" s="2825"/>
      <c r="K1214" s="2825"/>
      <c r="L1214" s="2825"/>
      <c r="M1214" s="2027"/>
      <c r="N1214" s="2027"/>
      <c r="O1214" s="2466" t="str">
        <f>'Part VIII Scoring Criteria'!O57</f>
        <v>Yes</v>
      </c>
      <c r="P1214" s="2466"/>
      <c r="Q1214" s="2027"/>
      <c r="R1214" s="1996"/>
      <c r="S1214" s="1996"/>
      <c r="T1214" s="2800"/>
      <c r="U1214" s="2027"/>
      <c r="V1214" s="2027"/>
      <c r="W1214" s="2027"/>
      <c r="X1214" s="2027"/>
      <c r="Y1214" s="2027"/>
      <c r="Z1214" s="2027"/>
      <c r="AA1214" s="2027"/>
      <c r="AB1214" s="2027"/>
      <c r="AC1214" s="2027"/>
      <c r="AD1214" s="2027"/>
      <c r="AE1214" s="2027"/>
      <c r="AF1214" s="2027"/>
    </row>
    <row r="1215" spans="1:32" ht="15">
      <c r="A1215" s="2829"/>
      <c r="B1215" s="2830"/>
      <c r="C1215" s="2033"/>
      <c r="D1215" s="2033"/>
      <c r="E1215" s="2033"/>
      <c r="F1215" s="2033"/>
      <c r="G1215" s="2033"/>
      <c r="H1215" s="2033"/>
      <c r="I1215" s="2033"/>
      <c r="J1215" s="2831" t="s">
        <v>1843</v>
      </c>
      <c r="K1215" s="2831"/>
      <c r="L1215" s="2027"/>
      <c r="M1215" s="2831" t="s">
        <v>1843</v>
      </c>
      <c r="N1215" s="2831"/>
      <c r="O1215" s="2831"/>
      <c r="P1215" s="2831"/>
      <c r="Q1215" s="2027"/>
      <c r="R1215" s="2812"/>
      <c r="S1215" s="2812"/>
      <c r="T1215" s="2800"/>
      <c r="U1215" s="2027"/>
      <c r="V1215" s="2027"/>
      <c r="W1215" s="2027"/>
      <c r="X1215" s="2027"/>
      <c r="Y1215" s="2027"/>
      <c r="Z1215" s="2027"/>
      <c r="AA1215" s="2027"/>
      <c r="AB1215" s="2027"/>
      <c r="AC1215" s="2027"/>
      <c r="AD1215" s="2027"/>
      <c r="AE1215" s="2027"/>
      <c r="AF1215" s="2027"/>
    </row>
    <row r="1216" spans="1:32" ht="15">
      <c r="A1216" s="2464"/>
      <c r="B1216" s="2813" t="s">
        <v>1839</v>
      </c>
      <c r="C1216" s="1997" t="s">
        <v>1386</v>
      </c>
      <c r="D1216" s="2027"/>
      <c r="E1216" s="2027"/>
      <c r="F1216" s="2027"/>
      <c r="G1216" s="2027"/>
      <c r="H1216" s="2027"/>
      <c r="I1216" s="2464"/>
      <c r="J1216" s="2832">
        <f>'Part VIII Scoring Criteria'!J59</f>
        <v>0</v>
      </c>
      <c r="K1216" s="2832"/>
      <c r="L1216" s="2464"/>
      <c r="M1216" s="2832"/>
      <c r="N1216" s="2832"/>
      <c r="O1216" s="2832"/>
      <c r="P1216" s="2832"/>
      <c r="Q1216" s="2027"/>
      <c r="R1216" s="2810"/>
      <c r="S1216" s="2027"/>
      <c r="T1216" s="2027"/>
      <c r="U1216" s="2027"/>
      <c r="V1216" s="2027"/>
      <c r="W1216" s="2027"/>
      <c r="X1216" s="2027"/>
      <c r="Y1216" s="2027"/>
      <c r="Z1216" s="2027"/>
      <c r="AA1216" s="2027"/>
      <c r="AB1216" s="2027"/>
      <c r="AC1216" s="2027"/>
      <c r="AD1216" s="2027"/>
      <c r="AE1216" s="2027"/>
      <c r="AF1216" s="2027"/>
    </row>
    <row r="1217" spans="1:32" ht="15">
      <c r="A1217" s="2808"/>
      <c r="B1217" s="2815" t="s">
        <v>1841</v>
      </c>
      <c r="C1217" s="1997" t="s">
        <v>3071</v>
      </c>
      <c r="D1217" s="2027"/>
      <c r="E1217" s="2027"/>
      <c r="F1217" s="2027"/>
      <c r="G1217" s="2027"/>
      <c r="H1217" s="2027"/>
      <c r="I1217" s="2818"/>
      <c r="J1217" s="2832">
        <f>'Part VIII Scoring Criteria'!J60</f>
        <v>0</v>
      </c>
      <c r="K1217" s="2832"/>
      <c r="L1217" s="2818"/>
      <c r="M1217" s="2832"/>
      <c r="N1217" s="2832"/>
      <c r="O1217" s="2832"/>
      <c r="P1217" s="2832"/>
      <c r="Q1217" s="2027"/>
      <c r="R1217" s="2027"/>
      <c r="S1217" s="2027"/>
      <c r="T1217" s="2027"/>
      <c r="U1217" s="2027"/>
      <c r="V1217" s="2027"/>
      <c r="W1217" s="2027"/>
      <c r="X1217" s="2027"/>
      <c r="Y1217" s="2027"/>
      <c r="Z1217" s="2027"/>
      <c r="AA1217" s="2027"/>
      <c r="AB1217" s="2027"/>
      <c r="AC1217" s="2027"/>
      <c r="AD1217" s="2027"/>
      <c r="AE1217" s="2027"/>
      <c r="AF1217" s="2027"/>
    </row>
    <row r="1218" spans="1:32" ht="15">
      <c r="A1218" s="2027"/>
      <c r="B1218" s="2813" t="s">
        <v>2326</v>
      </c>
      <c r="C1218" s="1997" t="s">
        <v>3830</v>
      </c>
      <c r="D1218" s="2027"/>
      <c r="E1218" s="2027"/>
      <c r="F1218" s="2027"/>
      <c r="G1218" s="2027"/>
      <c r="H1218" s="2027"/>
      <c r="I1218" s="2464"/>
      <c r="J1218" s="2832">
        <f>'Part VIII Scoring Criteria'!J61</f>
        <v>0</v>
      </c>
      <c r="K1218" s="2832"/>
      <c r="L1218" s="2464"/>
      <c r="M1218" s="2832"/>
      <c r="N1218" s="2832"/>
      <c r="O1218" s="2832"/>
      <c r="P1218" s="2832"/>
      <c r="Q1218" s="2027"/>
      <c r="R1218" s="2027"/>
      <c r="S1218" s="2027"/>
      <c r="T1218" s="2027"/>
      <c r="U1218" s="2027"/>
      <c r="V1218" s="2027"/>
      <c r="W1218" s="2027"/>
      <c r="X1218" s="2027"/>
      <c r="Y1218" s="2027"/>
      <c r="Z1218" s="2027"/>
      <c r="AA1218" s="2027"/>
      <c r="AB1218" s="2027"/>
      <c r="AC1218" s="2027"/>
      <c r="AD1218" s="2027"/>
      <c r="AE1218" s="2027"/>
      <c r="AF1218" s="2027"/>
    </row>
    <row r="1219" spans="1:32" ht="15">
      <c r="A1219" s="2027"/>
      <c r="B1219" s="2813" t="s">
        <v>1149</v>
      </c>
      <c r="C1219" s="1997" t="s">
        <v>4859</v>
      </c>
      <c r="D1219" s="2027"/>
      <c r="E1219" s="2027"/>
      <c r="F1219" s="2027"/>
      <c r="G1219" s="2027"/>
      <c r="H1219" s="2027"/>
      <c r="I1219" s="2464"/>
      <c r="J1219" s="2832">
        <f>'Part VIII Scoring Criteria'!J62</f>
        <v>0</v>
      </c>
      <c r="K1219" s="2832"/>
      <c r="L1219" s="2464"/>
      <c r="M1219" s="2832"/>
      <c r="N1219" s="2832"/>
      <c r="O1219" s="2832"/>
      <c r="P1219" s="2832"/>
      <c r="Q1219" s="2027"/>
      <c r="R1219" s="2027"/>
      <c r="S1219" s="2027"/>
      <c r="T1219" s="2027"/>
      <c r="U1219" s="2027"/>
      <c r="V1219" s="2027"/>
      <c r="W1219" s="2027"/>
      <c r="X1219" s="2027"/>
      <c r="Y1219" s="2027"/>
      <c r="Z1219" s="2027"/>
      <c r="AA1219" s="2027"/>
      <c r="AB1219" s="2027"/>
      <c r="AC1219" s="2027"/>
      <c r="AD1219" s="2027"/>
      <c r="AE1219" s="2027"/>
      <c r="AF1219" s="2027"/>
    </row>
    <row r="1220" spans="1:32" ht="15">
      <c r="A1220" s="2808"/>
      <c r="B1220" s="2815" t="s">
        <v>1150</v>
      </c>
      <c r="C1220" s="1997" t="s">
        <v>2987</v>
      </c>
      <c r="D1220" s="2027"/>
      <c r="E1220" s="2027"/>
      <c r="F1220" s="2027"/>
      <c r="G1220" s="2027"/>
      <c r="H1220" s="2027"/>
      <c r="I1220" s="2464"/>
      <c r="J1220" s="2832">
        <f>'Part VIII Scoring Criteria'!J63</f>
        <v>0</v>
      </c>
      <c r="K1220" s="2832"/>
      <c r="L1220" s="2464"/>
      <c r="M1220" s="2832"/>
      <c r="N1220" s="2832"/>
      <c r="O1220" s="2832"/>
      <c r="P1220" s="2832"/>
      <c r="Q1220" s="2027"/>
      <c r="R1220" s="2027"/>
      <c r="S1220" s="2027"/>
      <c r="T1220" s="2027"/>
      <c r="U1220" s="2027"/>
      <c r="V1220" s="2027"/>
      <c r="W1220" s="2027"/>
      <c r="X1220" s="2027"/>
      <c r="Y1220" s="2027"/>
      <c r="Z1220" s="2027"/>
      <c r="AA1220" s="2027"/>
      <c r="AB1220" s="2027"/>
      <c r="AC1220" s="2027"/>
      <c r="AD1220" s="2027"/>
      <c r="AE1220" s="2027"/>
      <c r="AF1220" s="2027"/>
    </row>
    <row r="1221" spans="1:32" ht="15">
      <c r="A1221" s="2464"/>
      <c r="B1221" s="2813" t="s">
        <v>1737</v>
      </c>
      <c r="C1221" s="1997" t="s">
        <v>2466</v>
      </c>
      <c r="D1221" s="2027"/>
      <c r="E1221" s="2027"/>
      <c r="F1221" s="2027"/>
      <c r="G1221" s="2027"/>
      <c r="H1221" s="2027"/>
      <c r="I1221" s="2818"/>
      <c r="J1221" s="2832">
        <f>'Part VIII Scoring Criteria'!J64</f>
        <v>0</v>
      </c>
      <c r="K1221" s="2832"/>
      <c r="L1221" s="2818"/>
      <c r="M1221" s="2832"/>
      <c r="N1221" s="2832"/>
      <c r="O1221" s="2832"/>
      <c r="P1221" s="2832"/>
      <c r="Q1221" s="2027"/>
      <c r="R1221" s="2027"/>
      <c r="S1221" s="2027"/>
      <c r="T1221" s="2027"/>
      <c r="U1221" s="2027"/>
      <c r="V1221" s="2027"/>
      <c r="W1221" s="2027"/>
      <c r="X1221" s="2027"/>
      <c r="Y1221" s="2027"/>
      <c r="Z1221" s="2027"/>
      <c r="AA1221" s="2027"/>
      <c r="AB1221" s="2027"/>
      <c r="AC1221" s="2027"/>
      <c r="AD1221" s="2027"/>
      <c r="AE1221" s="2027"/>
      <c r="AF1221" s="2027"/>
    </row>
    <row r="1222" spans="1:32" ht="15">
      <c r="A1222" s="2027"/>
      <c r="B1222" s="2813" t="s">
        <v>472</v>
      </c>
      <c r="C1222" s="1997" t="s">
        <v>1385</v>
      </c>
      <c r="D1222" s="2027"/>
      <c r="E1222" s="2027"/>
      <c r="F1222" s="2027"/>
      <c r="G1222" s="2027"/>
      <c r="H1222" s="2027"/>
      <c r="I1222" s="2464"/>
      <c r="J1222" s="2832">
        <f>'Part VIII Scoring Criteria'!J65</f>
        <v>0</v>
      </c>
      <c r="K1222" s="2832"/>
      <c r="L1222" s="2464"/>
      <c r="M1222" s="2832"/>
      <c r="N1222" s="2832"/>
      <c r="O1222" s="2832"/>
      <c r="P1222" s="2832"/>
      <c r="Q1222" s="2027"/>
      <c r="R1222" s="2027"/>
      <c r="S1222" s="2027"/>
      <c r="T1222" s="2027"/>
      <c r="U1222" s="2027"/>
      <c r="V1222" s="2027"/>
      <c r="W1222" s="2027"/>
      <c r="X1222" s="2027"/>
      <c r="Y1222" s="2027"/>
      <c r="Z1222" s="2027"/>
      <c r="AA1222" s="2027"/>
      <c r="AB1222" s="2027"/>
      <c r="AC1222" s="2027"/>
      <c r="AD1222" s="2027"/>
      <c r="AE1222" s="2027"/>
      <c r="AF1222" s="2027"/>
    </row>
    <row r="1223" spans="1:32" ht="15">
      <c r="A1223" s="2027"/>
      <c r="B1223" s="2813" t="s">
        <v>473</v>
      </c>
      <c r="C1223" s="1997" t="s">
        <v>4131</v>
      </c>
      <c r="D1223" s="2027"/>
      <c r="E1223" s="2027"/>
      <c r="F1223" s="2027"/>
      <c r="G1223" s="2027"/>
      <c r="H1223" s="2027"/>
      <c r="I1223" s="2464"/>
      <c r="J1223" s="2832">
        <f>'Part VIII Scoring Criteria'!J66</f>
        <v>0</v>
      </c>
      <c r="K1223" s="2832"/>
      <c r="L1223" s="2464"/>
      <c r="M1223" s="2832"/>
      <c r="N1223" s="2832"/>
      <c r="O1223" s="2832"/>
      <c r="P1223" s="2832"/>
      <c r="Q1223" s="2027"/>
      <c r="R1223" s="2810"/>
      <c r="S1223" s="2027"/>
      <c r="T1223" s="2027"/>
      <c r="U1223" s="2027"/>
      <c r="V1223" s="2027"/>
      <c r="W1223" s="2027"/>
      <c r="X1223" s="2027"/>
      <c r="Y1223" s="2027"/>
      <c r="Z1223" s="2027"/>
      <c r="AA1223" s="2027"/>
      <c r="AB1223" s="2027"/>
      <c r="AC1223" s="2027"/>
      <c r="AD1223" s="2027"/>
      <c r="AE1223" s="2027"/>
      <c r="AF1223" s="2027"/>
    </row>
    <row r="1224" spans="1:32" ht="15">
      <c r="A1224" s="2808"/>
      <c r="B1224" s="2813" t="s">
        <v>3766</v>
      </c>
      <c r="C1224" s="1997" t="s">
        <v>3070</v>
      </c>
      <c r="D1224" s="2027"/>
      <c r="E1224" s="2027"/>
      <c r="F1224" s="2027"/>
      <c r="G1224" s="2027"/>
      <c r="H1224" s="2027"/>
      <c r="I1224" s="2464"/>
      <c r="J1224" s="2832">
        <f>'Part VIII Scoring Criteria'!J67</f>
        <v>0</v>
      </c>
      <c r="K1224" s="2832"/>
      <c r="L1224" s="2464"/>
      <c r="M1224" s="2832"/>
      <c r="N1224" s="2832"/>
      <c r="O1224" s="2832"/>
      <c r="P1224" s="2832"/>
      <c r="Q1224" s="2027"/>
      <c r="R1224" s="2810"/>
      <c r="S1224" s="2027"/>
      <c r="T1224" s="2027"/>
      <c r="U1224" s="2027"/>
      <c r="V1224" s="2027"/>
      <c r="W1224" s="2027"/>
      <c r="X1224" s="2027"/>
      <c r="Y1224" s="2027"/>
      <c r="Z1224" s="2027"/>
      <c r="AA1224" s="2027"/>
      <c r="AB1224" s="2027"/>
      <c r="AC1224" s="2027"/>
      <c r="AD1224" s="2027"/>
      <c r="AE1224" s="2027"/>
      <c r="AF1224" s="2027"/>
    </row>
    <row r="1225" spans="1:32" ht="15">
      <c r="A1225" s="2027"/>
      <c r="B1225" s="2813" t="s">
        <v>4706</v>
      </c>
      <c r="C1225" s="1997" t="s">
        <v>4705</v>
      </c>
      <c r="D1225" s="2027"/>
      <c r="E1225" s="2027"/>
      <c r="F1225" s="2027"/>
      <c r="G1225" s="2027"/>
      <c r="H1225" s="2027"/>
      <c r="I1225" s="2464"/>
      <c r="J1225" s="2832">
        <f>'Part VIII Scoring Criteria'!J68</f>
        <v>0</v>
      </c>
      <c r="K1225" s="2832"/>
      <c r="L1225" s="2464"/>
      <c r="M1225" s="2832"/>
      <c r="N1225" s="2832"/>
      <c r="O1225" s="2832"/>
      <c r="P1225" s="2832"/>
      <c r="Q1225" s="2027"/>
      <c r="R1225" s="2810"/>
      <c r="S1225" s="2027"/>
      <c r="T1225" s="2027"/>
      <c r="U1225" s="2027"/>
      <c r="V1225" s="2027"/>
      <c r="W1225" s="2027"/>
      <c r="X1225" s="2027"/>
      <c r="Y1225" s="2027"/>
      <c r="Z1225" s="2027"/>
      <c r="AA1225" s="2027"/>
      <c r="AB1225" s="2027"/>
      <c r="AC1225" s="2027"/>
      <c r="AD1225" s="2027"/>
      <c r="AE1225" s="2027"/>
      <c r="AF1225" s="2027"/>
    </row>
    <row r="1226" spans="1:32" ht="15">
      <c r="A1226" s="2027"/>
      <c r="B1226" s="2813" t="s">
        <v>4707</v>
      </c>
      <c r="C1226" s="1997" t="s">
        <v>4727</v>
      </c>
      <c r="D1226" s="2027"/>
      <c r="E1226" s="2027"/>
      <c r="F1226" s="2027"/>
      <c r="G1226" s="2027"/>
      <c r="H1226" s="2027"/>
      <c r="I1226" s="2464"/>
      <c r="J1226" s="2832">
        <f>'Part VIII Scoring Criteria'!J69</f>
        <v>0</v>
      </c>
      <c r="K1226" s="2832"/>
      <c r="L1226" s="2464"/>
      <c r="M1226" s="2832"/>
      <c r="N1226" s="2832"/>
      <c r="O1226" s="2832"/>
      <c r="P1226" s="2832"/>
      <c r="Q1226" s="2027"/>
      <c r="R1226" s="2810"/>
      <c r="S1226" s="2027"/>
      <c r="T1226" s="2027"/>
      <c r="U1226" s="2027"/>
      <c r="V1226" s="2027"/>
      <c r="W1226" s="2027"/>
      <c r="X1226" s="2027"/>
      <c r="Y1226" s="2027"/>
      <c r="Z1226" s="2027"/>
      <c r="AA1226" s="2027"/>
      <c r="AB1226" s="2027"/>
      <c r="AC1226" s="2027"/>
      <c r="AD1226" s="2027"/>
      <c r="AE1226" s="2027"/>
      <c r="AF1226" s="2027"/>
    </row>
    <row r="1227" spans="1:32" ht="15">
      <c r="A1227" s="2027"/>
      <c r="B1227" s="2813" t="s">
        <v>4860</v>
      </c>
      <c r="C1227" s="1997" t="s">
        <v>4728</v>
      </c>
      <c r="D1227" s="2027"/>
      <c r="E1227" s="2027"/>
      <c r="F1227" s="2027"/>
      <c r="G1227" s="2027"/>
      <c r="H1227" s="2027"/>
      <c r="I1227" s="2464"/>
      <c r="J1227" s="2832">
        <f>'Part VIII Scoring Criteria'!J70</f>
        <v>1594810</v>
      </c>
      <c r="K1227" s="2832"/>
      <c r="L1227" s="2464"/>
      <c r="M1227" s="2832"/>
      <c r="N1227" s="2832"/>
      <c r="O1227" s="2832"/>
      <c r="P1227" s="2832"/>
      <c r="Q1227" s="2027"/>
      <c r="R1227" s="2810"/>
      <c r="S1227" s="2027"/>
      <c r="T1227" s="2027"/>
      <c r="U1227" s="2027"/>
      <c r="V1227" s="2027"/>
      <c r="W1227" s="2027"/>
      <c r="X1227" s="2027"/>
      <c r="Y1227" s="2027"/>
      <c r="Z1227" s="2027"/>
      <c r="AA1227" s="2027"/>
      <c r="AB1227" s="2027"/>
      <c r="AC1227" s="2027"/>
      <c r="AD1227" s="2027"/>
      <c r="AE1227" s="2027"/>
      <c r="AF1227" s="2027"/>
    </row>
    <row r="1228" spans="1:32" ht="15">
      <c r="A1228" s="2027"/>
      <c r="B1228" s="1997"/>
      <c r="C1228" s="2027"/>
      <c r="D1228" s="2027"/>
      <c r="E1228" s="2027"/>
      <c r="F1228" s="2027"/>
      <c r="G1228" s="2027"/>
      <c r="H1228" s="2027"/>
      <c r="I1228" s="2469" t="s">
        <v>2406</v>
      </c>
      <c r="J1228" s="2832">
        <f>SUM(J1216:K1227)</f>
        <v>1594810</v>
      </c>
      <c r="K1228" s="2832"/>
      <c r="L1228" s="2027"/>
      <c r="M1228" s="2832">
        <f>SUM($M1216:$M1227)</f>
        <v>0</v>
      </c>
      <c r="N1228" s="2832"/>
      <c r="O1228" s="2832"/>
      <c r="P1228" s="2832"/>
      <c r="Q1228" s="2027"/>
      <c r="R1228" s="2027"/>
      <c r="S1228" s="2027"/>
      <c r="T1228" s="2027"/>
      <c r="U1228" s="2027" t="s">
        <v>4733</v>
      </c>
      <c r="V1228" s="2027"/>
      <c r="W1228" s="2027"/>
      <c r="X1228" s="2027"/>
      <c r="Y1228" s="2027"/>
      <c r="Z1228" s="2027"/>
      <c r="AA1228" s="2027"/>
      <c r="AB1228" s="2027"/>
      <c r="AC1228" s="2027"/>
      <c r="AD1228" s="2027"/>
      <c r="AE1228" s="2027"/>
      <c r="AF1228" s="2027"/>
    </row>
    <row r="1229" spans="1:32" ht="15">
      <c r="A1229" s="2027"/>
      <c r="B1229" s="2027"/>
      <c r="C1229" s="2027"/>
      <c r="D1229" s="2027"/>
      <c r="E1229" s="2027"/>
      <c r="F1229" s="2027"/>
      <c r="G1229" s="2027"/>
      <c r="H1229" s="2027"/>
      <c r="I1229" s="2027"/>
      <c r="J1229" s="2027"/>
      <c r="K1229" s="2027"/>
      <c r="L1229" s="2027"/>
      <c r="M1229" s="1996"/>
      <c r="N1229" s="1996"/>
      <c r="O1229" s="2027"/>
      <c r="P1229" s="1996"/>
      <c r="Q1229" s="2027"/>
      <c r="R1229" s="2027"/>
      <c r="S1229" s="2027"/>
      <c r="T1229" s="2027"/>
      <c r="U1229" s="2833" t="s">
        <v>4731</v>
      </c>
      <c r="V1229" s="2833" t="s">
        <v>4732</v>
      </c>
      <c r="W1229" s="2833" t="s">
        <v>4731</v>
      </c>
      <c r="X1229" s="2833" t="s">
        <v>4732</v>
      </c>
      <c r="Y1229" s="2833" t="s">
        <v>4731</v>
      </c>
      <c r="Z1229" s="2833" t="s">
        <v>4732</v>
      </c>
      <c r="AA1229" s="2027"/>
      <c r="AB1229" s="2027"/>
      <c r="AC1229" s="2027"/>
      <c r="AD1229" s="2027"/>
      <c r="AE1229" s="2027"/>
      <c r="AF1229" s="2027"/>
    </row>
    <row r="1230" spans="1:32" ht="15">
      <c r="A1230" s="1997"/>
      <c r="B1230" s="2813"/>
      <c r="C1230" s="2035" t="s">
        <v>2405</v>
      </c>
      <c r="D1230" s="1997"/>
      <c r="E1230" s="1997"/>
      <c r="F1230" s="2027"/>
      <c r="G1230" s="2027"/>
      <c r="H1230" s="2027"/>
      <c r="I1230" s="2464" t="s">
        <v>4134</v>
      </c>
      <c r="J1230" s="2832">
        <f>'Part VIII Scoring Criteria'!J73</f>
        <v>80</v>
      </c>
      <c r="K1230" s="2832"/>
      <c r="L1230" s="1996"/>
      <c r="M1230" s="1996"/>
      <c r="N1230" s="1996"/>
      <c r="O1230" s="2027"/>
      <c r="P1230" s="1996"/>
      <c r="Q1230" s="2027"/>
      <c r="R1230" s="2834" t="s">
        <v>4729</v>
      </c>
      <c r="S1230" s="2027"/>
      <c r="T1230" s="2027"/>
      <c r="U1230" s="2835">
        <v>500000</v>
      </c>
      <c r="V1230" s="2836">
        <v>999999.99</v>
      </c>
      <c r="W1230" s="2835">
        <v>1000000</v>
      </c>
      <c r="X1230" s="2836">
        <v>1999999.99</v>
      </c>
      <c r="Y1230" s="2835">
        <v>2000000</v>
      </c>
      <c r="Z1230" s="2835"/>
      <c r="AA1230" s="2027"/>
      <c r="AB1230" s="2027"/>
      <c r="AC1230" s="2027"/>
      <c r="AD1230" s="2027"/>
      <c r="AE1230" s="2027"/>
      <c r="AF1230" s="2027"/>
    </row>
    <row r="1231" spans="1:32" ht="14.25">
      <c r="A1231" s="2027"/>
      <c r="B1231" s="2027"/>
      <c r="C1231" s="1997"/>
      <c r="D1231" s="1997"/>
      <c r="E1231" s="1997"/>
      <c r="F1231" s="2027"/>
      <c r="G1231" s="2027"/>
      <c r="H1231" s="2027"/>
      <c r="I1231" s="2808" t="s">
        <v>4135</v>
      </c>
      <c r="J1231" s="2837">
        <f>'Part VIII Scoring Criteria'!J74</f>
        <v>19935.125</v>
      </c>
      <c r="K1231" s="2837"/>
      <c r="L1231" s="2027"/>
      <c r="M1231" s="2837">
        <f>IF(J1230=0,0,M1228/J1230)</f>
        <v>0</v>
      </c>
      <c r="N1231" s="2837"/>
      <c r="O1231" s="2837"/>
      <c r="P1231" s="2837"/>
      <c r="Q1231" s="2027"/>
      <c r="R1231" s="2834" t="s">
        <v>4730</v>
      </c>
      <c r="S1231" s="2027"/>
      <c r="T1231" s="2027"/>
      <c r="U1231" s="2835">
        <v>10000</v>
      </c>
      <c r="V1231" s="2836">
        <v>19999.990000000002</v>
      </c>
      <c r="W1231" s="2835">
        <v>20000</v>
      </c>
      <c r="X1231" s="2836">
        <v>29999.99</v>
      </c>
      <c r="Y1231" s="2835">
        <v>30000</v>
      </c>
      <c r="Z1231" s="2835"/>
      <c r="AA1231" s="2027"/>
      <c r="AB1231" s="2027"/>
      <c r="AC1231" s="2027"/>
      <c r="AD1231" s="2027"/>
      <c r="AE1231" s="2027"/>
      <c r="AF1231" s="2027"/>
    </row>
    <row r="1232" spans="1:32" ht="14.25">
      <c r="A1232" s="2027"/>
      <c r="B1232" s="2027"/>
      <c r="C1232" s="1997"/>
      <c r="D1232" s="1997"/>
      <c r="E1232" s="1997"/>
      <c r="F1232" s="2027"/>
      <c r="G1232" s="2027"/>
      <c r="H1232" s="2027"/>
      <c r="I1232" s="2808" t="s">
        <v>4708</v>
      </c>
      <c r="J1232" s="2832">
        <f>'Part VIII Scoring Criteria'!J75</f>
        <v>2</v>
      </c>
      <c r="K1232" s="2832"/>
      <c r="L1232" s="2027"/>
      <c r="M1232" s="2832">
        <f>IF(AND(M1219+M1224&gt;0,M1228&gt;=$Y$73),$Y$75, IF(AND(M1219+M1224=0,M1228&gt;=$Y$73),$Y$76, IF(AND(M1219+M1224&gt;0,M1228&gt;=$W$73),$W$75,IF(AND(M1219+M1224=0,M1228&gt;=$W$73),$W$76, IF(AND(M1219+M1224&gt;0,M1228&gt;=$U$73),$U$75,IF(AND(M1219+M1224=0,M1228&gt;=$U$73),$U$76,0))))))</f>
        <v>0</v>
      </c>
      <c r="N1232" s="2832"/>
      <c r="O1232" s="2832">
        <f>IF(AND(O1219+O1224&gt;0,O1228&gt;=$Y$73),$Y$75, IF(AND(O1219+O1224=0,O1228&gt;=$Y$73),$Y$76, IF(AND(O1219+O1224&gt;0,O1228&gt;=$W$73),$W$75,IF(AND(O1219+O1224=0,O1228&gt;=$W$73),$W$76, IF(AND(O1219+O1224&gt;0,O1228&gt;=$U$73),$U$75,IF(AND(O1219+O1224=0,O1228&gt;=$U$73),$U$76,0))))))</f>
        <v>0</v>
      </c>
      <c r="P1232" s="2832"/>
      <c r="Q1232" s="2027"/>
      <c r="R1232" s="2834" t="s">
        <v>4862</v>
      </c>
      <c r="S1232" s="2027"/>
      <c r="T1232" s="2027"/>
      <c r="U1232" s="1997">
        <v>2</v>
      </c>
      <c r="V1232" s="1997"/>
      <c r="W1232" s="1997">
        <v>3</v>
      </c>
      <c r="X1232" s="1997"/>
      <c r="Y1232" s="1997">
        <v>4</v>
      </c>
      <c r="Z1232" s="1997"/>
      <c r="AA1232" s="2027"/>
      <c r="AB1232" s="2027"/>
      <c r="AC1232" s="2027"/>
      <c r="AD1232" s="2027"/>
      <c r="AE1232" s="2027"/>
      <c r="AF1232" s="2027"/>
    </row>
    <row r="1233" spans="1:32" ht="15">
      <c r="A1233" s="2027"/>
      <c r="B1233" s="2027"/>
      <c r="C1233" s="1997"/>
      <c r="D1233" s="1997"/>
      <c r="E1233" s="1997"/>
      <c r="F1233" s="2027"/>
      <c r="G1233" s="2027"/>
      <c r="H1233" s="2027"/>
      <c r="I1233" s="2808" t="s">
        <v>4136</v>
      </c>
      <c r="J1233" s="2838">
        <f>'Part VIII Scoring Criteria'!J76</f>
        <v>1</v>
      </c>
      <c r="K1233" s="2838"/>
      <c r="L1233" s="1996"/>
      <c r="M1233" s="2838">
        <f t="shared" ref="M1233" si="419">IF(AND(M1219+M1224&gt;0,$J$73&gt;=$Y$74),$Y$75, IF(AND(M1219+M1224=0,$J$73&gt;=$Y$74),$Y$76, IF(AND(M1219+M1224&gt;0,$J$73&gt;=$W$74),$W$75,IF(AND(M1219+M1224=0,$J$73&gt;=$W$74),$W$76, IF(AND(M1219+M1224&gt;0,$J$73&gt;=$U$74),$U$75,IF(AND(M1219+M1224=0,$J$73&gt;=$U$74),$U$76,0))))))</f>
        <v>0</v>
      </c>
      <c r="N1233" s="2838"/>
      <c r="O1233" s="2838">
        <f t="shared" ref="O1233" si="420">IF(AND(O1219+O1224&gt;0,$J$73&gt;=$Y$74),$Y$75, IF(AND(O1219+O1224=0,$J$73&gt;=$Y$74),$Y$76, IF(AND(O1219+O1224&gt;0,$J$73&gt;=$W$74),$W$75,IF(AND(O1219+O1224=0,$J$73&gt;=$W$74),$W$76, IF(AND(O1219+O1224&gt;0,$J$73&gt;=$U$74),$U$75,IF(AND(O1219+O1224=0,$J$73&gt;=$U$74),$U$76,0))))))</f>
        <v>0</v>
      </c>
      <c r="P1233" s="2838"/>
      <c r="Q1233" s="2027"/>
      <c r="R1233" s="2834" t="s">
        <v>4863</v>
      </c>
      <c r="S1233" s="2027"/>
      <c r="T1233" s="2027"/>
      <c r="U1233" s="1997">
        <v>1</v>
      </c>
      <c r="V1233" s="1997"/>
      <c r="W1233" s="1997">
        <v>2</v>
      </c>
      <c r="X1233" s="1997"/>
      <c r="Y1233" s="1997">
        <v>3</v>
      </c>
      <c r="Z1233" s="1997"/>
      <c r="AA1233" s="2027"/>
      <c r="AB1233" s="2027"/>
      <c r="AC1233" s="2027"/>
      <c r="AD1233" s="2027"/>
      <c r="AE1233" s="2027"/>
      <c r="AF1233" s="2027"/>
    </row>
    <row r="1234" spans="1:32" ht="15">
      <c r="A1234" s="2027"/>
      <c r="B1234" s="2027"/>
      <c r="C1234" s="2027"/>
      <c r="D1234" s="2027"/>
      <c r="E1234" s="2027"/>
      <c r="F1234" s="2027"/>
      <c r="G1234" s="2027"/>
      <c r="H1234" s="2027"/>
      <c r="I1234" s="2027"/>
      <c r="J1234" s="2027"/>
      <c r="K1234" s="2027"/>
      <c r="L1234" s="2027"/>
      <c r="M1234" s="2027"/>
      <c r="N1234" s="2016"/>
      <c r="O1234" s="2029"/>
      <c r="P1234" s="2029"/>
      <c r="Q1234" s="2027"/>
      <c r="R1234" s="2027"/>
      <c r="S1234" s="2027"/>
      <c r="T1234" s="2027"/>
      <c r="U1234" s="2027"/>
      <c r="V1234" s="2027"/>
      <c r="W1234" s="2027"/>
      <c r="X1234" s="2027"/>
      <c r="Y1234" s="2027"/>
      <c r="Z1234" s="2027"/>
      <c r="AA1234" s="2027"/>
      <c r="AB1234" s="2027"/>
      <c r="AC1234" s="2027"/>
      <c r="AD1234" s="2027"/>
      <c r="AE1234" s="2027"/>
      <c r="AF1234" s="2027"/>
    </row>
    <row r="1235" spans="1:32" ht="15">
      <c r="A1235" s="2466" t="s">
        <v>1838</v>
      </c>
      <c r="B1235" s="1996" t="s">
        <v>4864</v>
      </c>
      <c r="C1235" s="2027"/>
      <c r="D1235" s="1997"/>
      <c r="E1235" s="2027"/>
      <c r="F1235" s="2839" t="s">
        <v>4868</v>
      </c>
      <c r="G1235" s="2027"/>
      <c r="H1235" s="2027"/>
      <c r="I1235" s="2027"/>
      <c r="J1235" s="2027"/>
      <c r="K1235" s="1997"/>
      <c r="L1235" s="2840" t="s">
        <v>4867</v>
      </c>
      <c r="M1235" s="2011">
        <v>1</v>
      </c>
      <c r="N1235" s="2464"/>
      <c r="O1235" s="2805">
        <f>'Part VIII Scoring Criteria'!O78</f>
        <v>0</v>
      </c>
      <c r="P1235" s="2805">
        <f>'Part VIII Scoring Criteria'!P78</f>
        <v>0</v>
      </c>
      <c r="Q1235" s="2811"/>
      <c r="R1235" s="2812"/>
      <c r="S1235" s="2027"/>
      <c r="T1235" s="2462"/>
      <c r="U1235" s="2462"/>
      <c r="V1235" s="2027"/>
      <c r="W1235" s="2027"/>
      <c r="X1235" s="2027"/>
      <c r="Y1235" s="2027"/>
      <c r="Z1235" s="2027"/>
      <c r="AA1235" s="2027"/>
      <c r="AB1235" s="2027"/>
      <c r="AC1235" s="2027"/>
      <c r="AD1235" s="2027"/>
      <c r="AE1235" s="2027"/>
      <c r="AF1235" s="2027"/>
    </row>
    <row r="1236" spans="1:32" ht="15">
      <c r="A1236" s="2466"/>
      <c r="B1236" s="2813" t="s">
        <v>1839</v>
      </c>
      <c r="C1236" s="2030" t="s">
        <v>4865</v>
      </c>
      <c r="D1236" s="1997"/>
      <c r="E1236" s="1997"/>
      <c r="F1236" s="2841" t="s">
        <v>4866</v>
      </c>
      <c r="G1236" s="1997"/>
      <c r="H1236" s="1997"/>
      <c r="I1236" s="2466"/>
      <c r="J1236" s="2030"/>
      <c r="K1236" s="2030"/>
      <c r="L1236" s="2810" t="str">
        <f>IF(OR($O1236=$M1236,$O1236=0,$O1236=""),"","* * Check Score! * *")</f>
        <v/>
      </c>
      <c r="M1236" s="2842">
        <v>0.5</v>
      </c>
      <c r="N1236" s="2464"/>
      <c r="O1236" s="2805">
        <f>'Part VIII Scoring Criteria'!O79</f>
        <v>0</v>
      </c>
      <c r="P1236" s="2805"/>
      <c r="Q1236" s="2812"/>
      <c r="R1236" s="1997"/>
      <c r="S1236" s="1997"/>
      <c r="T1236" s="1997"/>
      <c r="U1236" s="1997"/>
      <c r="V1236" s="2462"/>
      <c r="W1236" s="1997"/>
      <c r="X1236" s="1997"/>
      <c r="Y1236" s="1997"/>
      <c r="Z1236" s="1997"/>
      <c r="AA1236" s="1997"/>
      <c r="AB1236" s="1997"/>
      <c r="AC1236" s="1997"/>
      <c r="AD1236" s="1997"/>
      <c r="AE1236" s="1997"/>
      <c r="AF1236" s="1997"/>
    </row>
    <row r="1237" spans="1:32" ht="15">
      <c r="A1237" s="2466"/>
      <c r="B1237" s="2815" t="s">
        <v>1841</v>
      </c>
      <c r="C1237" s="2030" t="s">
        <v>3073</v>
      </c>
      <c r="D1237" s="1997"/>
      <c r="E1237" s="1997"/>
      <c r="F1237" s="2466"/>
      <c r="G1237" s="1997"/>
      <c r="H1237" s="1997"/>
      <c r="I1237" s="2466"/>
      <c r="J1237" s="2030"/>
      <c r="K1237" s="2030"/>
      <c r="L1237" s="2810" t="str">
        <f>IF(OR($O1237=$M1237,$O1237=0,$O1237=""),"","* * Check Score! * *")</f>
        <v/>
      </c>
      <c r="M1237" s="2842">
        <v>1</v>
      </c>
      <c r="N1237" s="2464"/>
      <c r="O1237" s="2026">
        <f>'Part VIII Scoring Criteria'!O80</f>
        <v>0</v>
      </c>
      <c r="P1237" s="2026">
        <f>'Part VIII Scoring Criteria'!P80</f>
        <v>0</v>
      </c>
      <c r="Q1237" s="2812"/>
      <c r="R1237" s="1997"/>
      <c r="S1237" s="1997"/>
      <c r="T1237" s="1997"/>
      <c r="U1237" s="1997"/>
      <c r="V1237" s="2462"/>
      <c r="W1237" s="1997"/>
      <c r="X1237" s="1997"/>
      <c r="Y1237" s="1997"/>
      <c r="Z1237" s="1997"/>
      <c r="AA1237" s="1997"/>
      <c r="AB1237" s="1997"/>
      <c r="AC1237" s="1997"/>
      <c r="AD1237" s="1997"/>
      <c r="AE1237" s="1997"/>
      <c r="AF1237" s="1997"/>
    </row>
    <row r="1238" spans="1:32" ht="15">
      <c r="A1238" s="2469"/>
      <c r="B1238" s="2843"/>
      <c r="C1238" s="2034" t="s">
        <v>4964</v>
      </c>
      <c r="D1238" s="2033"/>
      <c r="E1238" s="2033"/>
      <c r="F1238" s="2033"/>
      <c r="G1238" s="2033"/>
      <c r="H1238" s="2033"/>
      <c r="I1238" s="2033"/>
      <c r="J1238" s="2033"/>
      <c r="K1238" s="2033"/>
      <c r="L1238" s="2033"/>
      <c r="M1238" s="2033"/>
      <c r="N1238" s="2844"/>
      <c r="O1238" s="2817" t="str">
        <f>'Part VIII Scoring Criteria'!O81</f>
        <v>N/a</v>
      </c>
      <c r="P1238" s="2817"/>
      <c r="Q1238" s="2027"/>
      <c r="R1238" s="2027"/>
      <c r="S1238" s="2027"/>
      <c r="T1238" s="2027"/>
      <c r="U1238" s="2027"/>
      <c r="V1238" s="2462"/>
      <c r="W1238" s="2027"/>
      <c r="X1238" s="2027"/>
      <c r="Y1238" s="2027"/>
      <c r="Z1238" s="2027"/>
      <c r="AA1238" s="2027"/>
      <c r="AB1238" s="2027"/>
      <c r="AC1238" s="2027"/>
      <c r="AD1238" s="2027"/>
      <c r="AE1238" s="2027"/>
      <c r="AF1238" s="2027"/>
    </row>
    <row r="1239" spans="1:32" ht="15">
      <c r="A1239" s="2469"/>
      <c r="B1239" s="2843"/>
      <c r="C1239" s="1997" t="s">
        <v>4709</v>
      </c>
      <c r="D1239" s="1997"/>
      <c r="E1239" s="1997"/>
      <c r="F1239" s="1997"/>
      <c r="G1239" s="1997"/>
      <c r="H1239" s="1997"/>
      <c r="I1239" s="1997"/>
      <c r="J1239" s="1997"/>
      <c r="K1239" s="1997"/>
      <c r="L1239" s="2027"/>
      <c r="M1239" s="1997"/>
      <c r="N1239" s="2845"/>
      <c r="O1239" s="2817" t="str">
        <f>'Part VIII Scoring Criteria'!O82</f>
        <v>N/a</v>
      </c>
      <c r="P1239" s="2466"/>
      <c r="Q1239" s="2027"/>
      <c r="R1239" s="2027"/>
      <c r="S1239" s="2027"/>
      <c r="T1239" s="2027"/>
      <c r="U1239" s="2027"/>
      <c r="V1239" s="2462"/>
      <c r="W1239" s="2027"/>
      <c r="X1239" s="2027"/>
      <c r="Y1239" s="2027"/>
      <c r="Z1239" s="2027"/>
      <c r="AA1239" s="2027"/>
      <c r="AB1239" s="2027"/>
      <c r="AC1239" s="2027"/>
      <c r="AD1239" s="2027"/>
      <c r="AE1239" s="2027"/>
      <c r="AF1239" s="2027"/>
    </row>
    <row r="1240" spans="1:32" ht="15">
      <c r="A1240" s="1997"/>
      <c r="B1240" s="2806" t="s">
        <v>5113</v>
      </c>
      <c r="C1240" s="1997"/>
      <c r="D1240" s="1997"/>
      <c r="E1240" s="1997"/>
      <c r="F1240" s="1997"/>
      <c r="G1240" s="1997"/>
      <c r="H1240" s="1997"/>
      <c r="I1240" s="1997"/>
      <c r="J1240" s="1997"/>
      <c r="K1240" s="1997"/>
      <c r="L1240" s="2027"/>
      <c r="M1240" s="2011"/>
      <c r="N1240" s="2016"/>
      <c r="O1240" s="2026"/>
      <c r="P1240" s="2029"/>
      <c r="Q1240" s="2027"/>
      <c r="R1240" s="2027"/>
      <c r="S1240" s="2027"/>
      <c r="T1240" s="2027"/>
      <c r="U1240" s="2027"/>
      <c r="V1240" s="2027"/>
      <c r="W1240" s="2027"/>
      <c r="X1240" s="2027"/>
      <c r="Y1240" s="2027"/>
      <c r="Z1240" s="2027"/>
      <c r="AA1240" s="2027"/>
      <c r="AB1240" s="2027"/>
      <c r="AC1240" s="2027"/>
      <c r="AD1240" s="2027"/>
      <c r="AE1240" s="2027"/>
      <c r="AF1240" s="2027"/>
    </row>
    <row r="1241" spans="1:32" ht="15">
      <c r="A1241" s="2821" t="str">
        <f>'Part VIII Scoring Criteria'!A84</f>
        <v>Applicant has secured a commitment of funds from Gwinnett County for two points of leverage</v>
      </c>
      <c r="B1241" s="2821"/>
      <c r="C1241" s="2821"/>
      <c r="D1241" s="2821"/>
      <c r="E1241" s="2821"/>
      <c r="F1241" s="2821"/>
      <c r="G1241" s="2821"/>
      <c r="H1241" s="2821"/>
      <c r="I1241" s="2821"/>
      <c r="J1241" s="2821"/>
      <c r="K1241" s="2821"/>
      <c r="L1241" s="2821"/>
      <c r="M1241" s="2821"/>
      <c r="N1241" s="2821"/>
      <c r="O1241" s="2821"/>
      <c r="P1241" s="2821"/>
      <c r="Q1241" s="1996"/>
      <c r="R1241" s="2027"/>
      <c r="S1241" s="2027"/>
      <c r="T1241" s="2027"/>
      <c r="U1241" s="2027"/>
      <c r="V1241" s="2027"/>
      <c r="W1241" s="2027"/>
      <c r="X1241" s="2027"/>
      <c r="Y1241" s="2027"/>
      <c r="Z1241" s="2027"/>
      <c r="AA1241" s="2027"/>
      <c r="AB1241" s="2027"/>
      <c r="AC1241" s="2027"/>
      <c r="AD1241" s="2027"/>
      <c r="AE1241" s="2027"/>
      <c r="AF1241" s="2027"/>
    </row>
    <row r="1242" spans="1:32" ht="15">
      <c r="A1242" s="1997"/>
      <c r="B1242" s="2806" t="s">
        <v>1725</v>
      </c>
      <c r="C1242" s="1997"/>
      <c r="D1242" s="2806"/>
      <c r="E1242" s="2030"/>
      <c r="F1242" s="2030"/>
      <c r="G1242" s="2030"/>
      <c r="H1242" s="2030"/>
      <c r="I1242" s="2030"/>
      <c r="J1242" s="2030"/>
      <c r="K1242" s="2030"/>
      <c r="L1242" s="2030"/>
      <c r="M1242" s="2030"/>
      <c r="N1242" s="2011"/>
      <c r="O1242" s="2466"/>
      <c r="P1242" s="2466"/>
      <c r="Q1242" s="2027"/>
      <c r="R1242" s="1997"/>
      <c r="S1242" s="1997"/>
      <c r="T1242" s="1997"/>
      <c r="U1242" s="1997"/>
      <c r="V1242" s="1997"/>
      <c r="W1242" s="1997"/>
      <c r="X1242" s="1997"/>
      <c r="Y1242" s="1997"/>
      <c r="Z1242" s="1997"/>
      <c r="AA1242" s="1997"/>
      <c r="AB1242" s="1997"/>
      <c r="AC1242" s="1997"/>
      <c r="AD1242" s="1997"/>
      <c r="AE1242" s="1997"/>
      <c r="AF1242" s="1997"/>
    </row>
    <row r="1243" spans="1:32" ht="15">
      <c r="A1243" s="2033"/>
      <c r="B1243" s="2033"/>
      <c r="C1243" s="2033"/>
      <c r="D1243" s="2033"/>
      <c r="E1243" s="2033"/>
      <c r="F1243" s="2033"/>
      <c r="G1243" s="2033"/>
      <c r="H1243" s="2033"/>
      <c r="I1243" s="2033"/>
      <c r="J1243" s="2033"/>
      <c r="K1243" s="2033"/>
      <c r="L1243" s="2033"/>
      <c r="M1243" s="2033"/>
      <c r="N1243" s="2033"/>
      <c r="O1243" s="2033"/>
      <c r="P1243" s="2033"/>
      <c r="Q1243" s="1996"/>
      <c r="R1243" s="2027"/>
      <c r="S1243" s="2027"/>
      <c r="T1243" s="2027"/>
      <c r="U1243" s="2027"/>
      <c r="V1243" s="2027"/>
      <c r="W1243" s="2027"/>
      <c r="X1243" s="2027"/>
      <c r="Y1243" s="2027"/>
      <c r="Z1243" s="2027"/>
      <c r="AA1243" s="2027"/>
      <c r="AB1243" s="2027"/>
      <c r="AC1243" s="2027"/>
      <c r="AD1243" s="2027"/>
      <c r="AE1243" s="2027"/>
      <c r="AF1243" s="2027"/>
    </row>
    <row r="1244" spans="1:32" ht="15">
      <c r="A1244" s="1997"/>
      <c r="B1244" s="2469"/>
      <c r="C1244" s="1997"/>
      <c r="D1244" s="1996"/>
      <c r="E1244" s="1997"/>
      <c r="F1244" s="1997"/>
      <c r="G1244" s="2470"/>
      <c r="H1244" s="2470"/>
      <c r="I1244" s="2470"/>
      <c r="J1244" s="2470"/>
      <c r="K1244" s="2470"/>
      <c r="L1244" s="2470"/>
      <c r="M1244" s="2011"/>
      <c r="N1244" s="2016"/>
      <c r="O1244" s="2026"/>
      <c r="P1244" s="2466"/>
      <c r="Q1244" s="2027"/>
      <c r="R1244" s="1997"/>
      <c r="S1244" s="1997"/>
      <c r="T1244" s="1997"/>
      <c r="U1244" s="1997"/>
      <c r="V1244" s="1997"/>
      <c r="W1244" s="1997"/>
      <c r="X1244" s="2471"/>
      <c r="Y1244" s="2471"/>
      <c r="Z1244" s="2471"/>
      <c r="AA1244" s="2471"/>
      <c r="AB1244" s="2471"/>
      <c r="AC1244" s="2471"/>
      <c r="AD1244" s="2471"/>
      <c r="AE1244" s="2471"/>
      <c r="AF1244" s="2471"/>
    </row>
    <row r="1245" spans="1:32" ht="15">
      <c r="A1245" s="2027"/>
      <c r="B1245" s="2027"/>
      <c r="C1245" s="2027"/>
      <c r="D1245" s="2027"/>
      <c r="E1245" s="2027"/>
      <c r="F1245" s="2027"/>
      <c r="G1245" s="2027"/>
      <c r="H1245" s="2027"/>
      <c r="I1245" s="2027"/>
      <c r="J1245" s="2027"/>
      <c r="K1245" s="2027"/>
      <c r="L1245" s="2027"/>
      <c r="M1245" s="2027"/>
      <c r="N1245" s="2016"/>
      <c r="O1245" s="2029"/>
      <c r="P1245" s="2029"/>
      <c r="Q1245" s="2027"/>
      <c r="R1245" s="2027"/>
      <c r="S1245" s="2027"/>
      <c r="T1245" s="2462"/>
      <c r="U1245" s="2462"/>
      <c r="V1245" s="2027"/>
      <c r="W1245" s="2027"/>
      <c r="X1245" s="2027"/>
      <c r="Y1245" s="2027"/>
      <c r="Z1245" s="2027"/>
      <c r="AA1245" s="2027"/>
      <c r="AB1245" s="2027"/>
      <c r="AC1245" s="2027"/>
      <c r="AD1245" s="2027"/>
      <c r="AE1245" s="2027"/>
      <c r="AF1245" s="2027"/>
    </row>
    <row r="1246" spans="1:32" ht="15">
      <c r="A1246" s="2846" t="s">
        <v>495</v>
      </c>
      <c r="B1246" s="2462" t="s">
        <v>3908</v>
      </c>
      <c r="C1246" s="1997"/>
      <c r="D1246" s="2462"/>
      <c r="E1246" s="2462"/>
      <c r="F1246" s="1997"/>
      <c r="G1246" s="1997"/>
      <c r="H1246" s="1997"/>
      <c r="I1246" s="1997"/>
      <c r="J1246" s="1997"/>
      <c r="K1246" s="2810"/>
      <c r="L1246" s="2808" t="s">
        <v>4896</v>
      </c>
      <c r="M1246" s="2466">
        <v>10</v>
      </c>
      <c r="N1246" s="2011"/>
      <c r="O1246" s="2026">
        <f>'Part VIII Scoring Criteria'!O89</f>
        <v>10</v>
      </c>
      <c r="P1246" s="2026">
        <f>'Part VIII Scoring Criteria'!P89</f>
        <v>10</v>
      </c>
      <c r="Q1246" s="2466" t="s">
        <v>415</v>
      </c>
      <c r="R1246" s="1997"/>
      <c r="S1246" s="1997"/>
      <c r="T1246" s="1997"/>
      <c r="U1246" s="1997"/>
      <c r="V1246" s="1997"/>
      <c r="W1246" s="1997"/>
      <c r="X1246" s="1997"/>
      <c r="Y1246" s="1997"/>
      <c r="Z1246" s="1997"/>
      <c r="AA1246" s="1997"/>
      <c r="AB1246" s="1997"/>
      <c r="AC1246" s="1997"/>
      <c r="AD1246" s="1997"/>
      <c r="AE1246" s="1997"/>
      <c r="AF1246" s="1997"/>
    </row>
    <row r="1247" spans="1:32" ht="15">
      <c r="A1247" s="2846"/>
      <c r="B1247" s="2462"/>
      <c r="C1247" s="1997"/>
      <c r="D1247" s="2462"/>
      <c r="E1247" s="2462"/>
      <c r="F1247" s="1997"/>
      <c r="G1247" s="1997"/>
      <c r="H1247" s="1997"/>
      <c r="I1247" s="1997"/>
      <c r="J1247" s="1997"/>
      <c r="K1247" s="1997"/>
      <c r="L1247" s="2810"/>
      <c r="M1247" s="2466"/>
      <c r="N1247" s="2011"/>
      <c r="O1247" s="2011"/>
      <c r="P1247" s="2011"/>
      <c r="Q1247" s="2466"/>
      <c r="R1247" s="1997"/>
      <c r="S1247" s="1997"/>
      <c r="T1247" s="1997"/>
      <c r="U1247" s="1997"/>
      <c r="V1247" s="1997"/>
      <c r="W1247" s="1997"/>
      <c r="X1247" s="1997"/>
      <c r="Y1247" s="1997"/>
      <c r="Z1247" s="1997"/>
      <c r="AA1247" s="1997"/>
      <c r="AB1247" s="1997"/>
      <c r="AC1247" s="1997"/>
      <c r="AD1247" s="1997"/>
      <c r="AE1247" s="1997"/>
      <c r="AF1247" s="1997"/>
    </row>
    <row r="1248" spans="1:32" ht="15">
      <c r="A1248" s="2846"/>
      <c r="B1248" s="1996" t="s">
        <v>3093</v>
      </c>
      <c r="C1248" s="1997"/>
      <c r="D1248" s="2462"/>
      <c r="E1248" s="2462"/>
      <c r="F1248" s="1997"/>
      <c r="G1248" s="1997"/>
      <c r="H1248" s="1997"/>
      <c r="I1248" s="1997"/>
      <c r="J1248" s="1997"/>
      <c r="K1248" s="1997"/>
      <c r="L1248" s="2810"/>
      <c r="M1248" s="2466"/>
      <c r="N1248" s="2011"/>
      <c r="O1248" s="2026">
        <v>10</v>
      </c>
      <c r="P1248" s="2026">
        <v>10</v>
      </c>
      <c r="Q1248" s="2466"/>
      <c r="R1248" s="1997"/>
      <c r="S1248" s="1997"/>
      <c r="T1248" s="1997"/>
      <c r="U1248" s="1997"/>
      <c r="V1248" s="1997"/>
      <c r="W1248" s="1997"/>
      <c r="X1248" s="1997"/>
      <c r="Y1248" s="1997"/>
      <c r="Z1248" s="1997"/>
      <c r="AA1248" s="1997"/>
      <c r="AB1248" s="1997"/>
      <c r="AC1248" s="1997"/>
      <c r="AD1248" s="1997"/>
      <c r="AE1248" s="1997"/>
      <c r="AF1248" s="1997"/>
    </row>
    <row r="1249" spans="1:32" ht="15">
      <c r="A1249" s="2466" t="s">
        <v>1836</v>
      </c>
      <c r="B1249" s="1996" t="s">
        <v>4746</v>
      </c>
      <c r="C1249" s="1997"/>
      <c r="D1249" s="2462"/>
      <c r="E1249" s="2462"/>
      <c r="F1249" s="1997"/>
      <c r="G1249" s="1997"/>
      <c r="H1249" s="1997"/>
      <c r="I1249" s="1997"/>
      <c r="J1249" s="1997"/>
      <c r="K1249" s="1997"/>
      <c r="L1249" s="2810"/>
      <c r="M1249" s="2466"/>
      <c r="N1249" s="2011"/>
      <c r="O1249" s="2026">
        <f>'Part VIII Scoring Criteria'!O92</f>
        <v>0</v>
      </c>
      <c r="P1249" s="2026">
        <f>'Part VIII Scoring Criteria'!P92</f>
        <v>0</v>
      </c>
      <c r="Q1249" s="2466"/>
      <c r="R1249" s="1997"/>
      <c r="S1249" s="1997"/>
      <c r="T1249" s="1997"/>
      <c r="U1249" s="1997"/>
      <c r="V1249" s="1997"/>
      <c r="W1249" s="1997"/>
      <c r="X1249" s="1997"/>
      <c r="Y1249" s="1997"/>
      <c r="Z1249" s="1997"/>
      <c r="AA1249" s="1997"/>
      <c r="AB1249" s="1997"/>
      <c r="AC1249" s="1997"/>
      <c r="AD1249" s="1997"/>
      <c r="AE1249" s="1997"/>
      <c r="AF1249" s="1997"/>
    </row>
    <row r="1250" spans="1:32" ht="15">
      <c r="A1250" s="2466"/>
      <c r="B1250" s="2813" t="s">
        <v>1839</v>
      </c>
      <c r="C1250" s="1997" t="s">
        <v>4941</v>
      </c>
      <c r="D1250" s="2462"/>
      <c r="E1250" s="2462"/>
      <c r="F1250" s="1997"/>
      <c r="G1250" s="1997"/>
      <c r="H1250" s="1997"/>
      <c r="I1250" s="1997"/>
      <c r="J1250" s="1997"/>
      <c r="K1250" s="1997"/>
      <c r="L1250" s="2810"/>
      <c r="M1250" s="2847"/>
      <c r="N1250" s="2011"/>
      <c r="O1250" s="2026">
        <f>'Part VIII Scoring Criteria'!O93</f>
        <v>0</v>
      </c>
      <c r="P1250" s="2026"/>
      <c r="Q1250" s="2466"/>
      <c r="R1250" s="1997"/>
      <c r="S1250" s="1997"/>
      <c r="T1250" s="1997"/>
      <c r="U1250" s="1997"/>
      <c r="V1250" s="1997"/>
      <c r="W1250" s="1997"/>
      <c r="X1250" s="1997"/>
      <c r="Y1250" s="1997"/>
      <c r="Z1250" s="1997"/>
      <c r="AA1250" s="1997"/>
      <c r="AB1250" s="1997"/>
      <c r="AC1250" s="1997"/>
      <c r="AD1250" s="1997"/>
      <c r="AE1250" s="1997"/>
      <c r="AF1250" s="1997"/>
    </row>
    <row r="1251" spans="1:32" ht="15">
      <c r="A1251" s="2466"/>
      <c r="B1251" s="2815" t="s">
        <v>1841</v>
      </c>
      <c r="C1251" s="1997" t="s">
        <v>4942</v>
      </c>
      <c r="D1251" s="2462"/>
      <c r="E1251" s="2462"/>
      <c r="F1251" s="1997"/>
      <c r="G1251" s="1997"/>
      <c r="H1251" s="1997"/>
      <c r="I1251" s="1997"/>
      <c r="J1251" s="1997"/>
      <c r="K1251" s="1997"/>
      <c r="L1251" s="2810"/>
      <c r="M1251" s="2847"/>
      <c r="N1251" s="2011"/>
      <c r="O1251" s="2026">
        <f>'Part VIII Scoring Criteria'!O94</f>
        <v>0</v>
      </c>
      <c r="P1251" s="2026"/>
      <c r="Q1251" s="2466"/>
      <c r="R1251" s="1997"/>
      <c r="S1251" s="1997"/>
      <c r="T1251" s="1997"/>
      <c r="U1251" s="1997"/>
      <c r="V1251" s="1997"/>
      <c r="W1251" s="1997"/>
      <c r="X1251" s="1997"/>
      <c r="Y1251" s="1997"/>
      <c r="Z1251" s="1997"/>
      <c r="AA1251" s="1997"/>
      <c r="AB1251" s="1997"/>
      <c r="AC1251" s="1997"/>
      <c r="AD1251" s="1997"/>
      <c r="AE1251" s="1997"/>
      <c r="AF1251" s="1997"/>
    </row>
    <row r="1252" spans="1:32" ht="15">
      <c r="A1252" s="2466" t="s">
        <v>1838</v>
      </c>
      <c r="B1252" s="1996" t="s">
        <v>4747</v>
      </c>
      <c r="C1252" s="1997"/>
      <c r="D1252" s="2462"/>
      <c r="E1252" s="2462"/>
      <c r="F1252" s="1997"/>
      <c r="G1252" s="1997"/>
      <c r="H1252" s="1997"/>
      <c r="I1252" s="1997"/>
      <c r="J1252" s="1997"/>
      <c r="K1252" s="1997"/>
      <c r="L1252" s="2810"/>
      <c r="M1252" s="2466"/>
      <c r="N1252" s="2011"/>
      <c r="O1252" s="2026">
        <f>'Part VIII Scoring Criteria'!O95</f>
        <v>0</v>
      </c>
      <c r="P1252" s="2026"/>
      <c r="Q1252" s="2466"/>
      <c r="R1252" s="1997"/>
      <c r="S1252" s="1997"/>
      <c r="T1252" s="1997"/>
      <c r="U1252" s="1997"/>
      <c r="V1252" s="1997"/>
      <c r="W1252" s="1997"/>
      <c r="X1252" s="1997"/>
      <c r="Y1252" s="1997"/>
      <c r="Z1252" s="1997"/>
      <c r="AA1252" s="1997"/>
      <c r="AB1252" s="1997"/>
      <c r="AC1252" s="1997"/>
      <c r="AD1252" s="1997"/>
      <c r="AE1252" s="1997"/>
      <c r="AF1252" s="1997"/>
    </row>
    <row r="1253" spans="1:32" ht="15">
      <c r="A1253" s="2806"/>
      <c r="B1253" s="2806" t="s">
        <v>1725</v>
      </c>
      <c r="C1253" s="1997"/>
      <c r="D1253" s="2806"/>
      <c r="E1253" s="2030"/>
      <c r="F1253" s="2030"/>
      <c r="G1253" s="2030"/>
      <c r="H1253" s="2030"/>
      <c r="I1253" s="2030"/>
      <c r="J1253" s="2030"/>
      <c r="K1253" s="2030"/>
      <c r="L1253" s="2030"/>
      <c r="M1253" s="2030"/>
      <c r="N1253" s="2011"/>
      <c r="O1253" s="2466"/>
      <c r="P1253" s="2466"/>
      <c r="Q1253" s="1997"/>
      <c r="R1253" s="1997"/>
      <c r="S1253" s="1997"/>
      <c r="T1253" s="1997"/>
      <c r="U1253" s="1997"/>
      <c r="V1253" s="1997"/>
      <c r="W1253" s="1997"/>
      <c r="X1253" s="1997"/>
      <c r="Y1253" s="1997"/>
      <c r="Z1253" s="1997"/>
      <c r="AA1253" s="1997"/>
      <c r="AB1253" s="1997"/>
      <c r="AC1253" s="1997"/>
      <c r="AD1253" s="1997"/>
      <c r="AE1253" s="1997"/>
      <c r="AF1253" s="1997"/>
    </row>
    <row r="1254" spans="1:32" ht="15">
      <c r="A1254" s="2033"/>
      <c r="B1254" s="2033"/>
      <c r="C1254" s="2033"/>
      <c r="D1254" s="2033"/>
      <c r="E1254" s="2033"/>
      <c r="F1254" s="2033"/>
      <c r="G1254" s="2033"/>
      <c r="H1254" s="2033"/>
      <c r="I1254" s="2033"/>
      <c r="J1254" s="2033"/>
      <c r="K1254" s="2033"/>
      <c r="L1254" s="2033"/>
      <c r="M1254" s="2033"/>
      <c r="N1254" s="2033"/>
      <c r="O1254" s="2033"/>
      <c r="P1254" s="2033"/>
      <c r="Q1254" s="1996"/>
      <c r="R1254" s="1996"/>
      <c r="S1254" s="2027"/>
      <c r="T1254" s="2027"/>
      <c r="U1254" s="2027"/>
      <c r="V1254" s="2027"/>
      <c r="W1254" s="2027"/>
      <c r="X1254" s="2027"/>
      <c r="Y1254" s="2027"/>
      <c r="Z1254" s="2027"/>
      <c r="AA1254" s="2027"/>
      <c r="AB1254" s="2027"/>
      <c r="AC1254" s="2027"/>
      <c r="AD1254" s="2027"/>
      <c r="AE1254" s="2027"/>
      <c r="AF1254" s="2027"/>
    </row>
    <row r="1255" spans="1:32" ht="15">
      <c r="A1255" s="1997"/>
      <c r="B1255" s="2469"/>
      <c r="C1255" s="1997"/>
      <c r="D1255" s="1996"/>
      <c r="E1255" s="1997"/>
      <c r="F1255" s="1997"/>
      <c r="G1255" s="2470"/>
      <c r="H1255" s="2470"/>
      <c r="I1255" s="2470"/>
      <c r="J1255" s="2470"/>
      <c r="K1255" s="2470"/>
      <c r="L1255" s="2470"/>
      <c r="M1255" s="2011"/>
      <c r="N1255" s="2016"/>
      <c r="O1255" s="2026"/>
      <c r="P1255" s="2466"/>
      <c r="Q1255" s="2027"/>
      <c r="R1255" s="1997"/>
      <c r="S1255" s="1997"/>
      <c r="T1255" s="1997"/>
      <c r="U1255" s="1997"/>
      <c r="V1255" s="1997"/>
      <c r="W1255" s="1997"/>
      <c r="X1255" s="2471"/>
      <c r="Y1255" s="2471"/>
      <c r="Z1255" s="2471"/>
      <c r="AA1255" s="2471"/>
      <c r="AB1255" s="2471"/>
      <c r="AC1255" s="2471"/>
      <c r="AD1255" s="2471"/>
      <c r="AE1255" s="2471"/>
      <c r="AF1255" s="2471"/>
    </row>
    <row r="1256" spans="1:32" ht="15">
      <c r="A1256" s="2027"/>
      <c r="B1256" s="2027"/>
      <c r="C1256" s="2027"/>
      <c r="D1256" s="2027"/>
      <c r="E1256" s="2027"/>
      <c r="F1256" s="2027"/>
      <c r="G1256" s="2027"/>
      <c r="H1256" s="2027"/>
      <c r="I1256" s="2027"/>
      <c r="J1256" s="2027"/>
      <c r="K1256" s="2027"/>
      <c r="L1256" s="2027"/>
      <c r="M1256" s="2027"/>
      <c r="N1256" s="2016"/>
      <c r="O1256" s="2029"/>
      <c r="P1256" s="2029"/>
      <c r="Q1256" s="2027"/>
      <c r="R1256" s="2027"/>
      <c r="S1256" s="2027"/>
      <c r="T1256" s="2462"/>
      <c r="U1256" s="2462"/>
      <c r="V1256" s="2027"/>
      <c r="W1256" s="2027"/>
      <c r="X1256" s="2027"/>
      <c r="Y1256" s="2027"/>
      <c r="Z1256" s="2027"/>
      <c r="AA1256" s="2027"/>
      <c r="AB1256" s="2027"/>
      <c r="AC1256" s="2027"/>
      <c r="AD1256" s="2027"/>
      <c r="AE1256" s="2027"/>
      <c r="AF1256" s="2027"/>
    </row>
    <row r="1257" spans="1:32" ht="15">
      <c r="A1257" s="2846" t="s">
        <v>719</v>
      </c>
      <c r="B1257" s="2462" t="s">
        <v>4501</v>
      </c>
      <c r="C1257" s="2034"/>
      <c r="D1257" s="2034"/>
      <c r="E1257" s="2034"/>
      <c r="F1257" s="2034"/>
      <c r="G1257" s="2807" t="s">
        <v>4873</v>
      </c>
      <c r="H1257" s="2034"/>
      <c r="I1257" s="2027"/>
      <c r="J1257" s="2027"/>
      <c r="K1257" s="2034"/>
      <c r="L1257" s="2808" t="s">
        <v>4896</v>
      </c>
      <c r="M1257" s="2466">
        <v>5</v>
      </c>
      <c r="N1257" s="2032"/>
      <c r="O1257" s="2026">
        <f>'Part VIII Scoring Criteria'!O100</f>
        <v>4</v>
      </c>
      <c r="P1257" s="2026">
        <f>'Part VIII Scoring Criteria'!P100</f>
        <v>2</v>
      </c>
      <c r="Q1257" s="2466" t="s">
        <v>415</v>
      </c>
      <c r="R1257" s="2812"/>
      <c r="S1257" s="2027"/>
      <c r="T1257" s="2027"/>
      <c r="U1257" s="2027"/>
      <c r="V1257" s="2027"/>
      <c r="W1257" s="2027"/>
      <c r="X1257" s="2027"/>
      <c r="Y1257" s="2027"/>
      <c r="Z1257" s="2027"/>
      <c r="AA1257" s="2027"/>
      <c r="AB1257" s="2027"/>
      <c r="AC1257" s="2027"/>
      <c r="AD1257" s="2027"/>
      <c r="AE1257" s="2027"/>
      <c r="AF1257" s="2027"/>
    </row>
    <row r="1258" spans="1:32" ht="15">
      <c r="A1258" s="2466" t="s">
        <v>1836</v>
      </c>
      <c r="B1258" s="1996" t="s">
        <v>4870</v>
      </c>
      <c r="C1258" s="1997"/>
      <c r="D1258" s="1997"/>
      <c r="E1258" s="1996"/>
      <c r="F1258" s="1997"/>
      <c r="G1258" s="2839"/>
      <c r="H1258" s="1997"/>
      <c r="I1258" s="1997"/>
      <c r="J1258" s="1997"/>
      <c r="K1258" s="2011"/>
      <c r="L1258" s="2464"/>
      <c r="M1258" s="2011">
        <v>3</v>
      </c>
      <c r="N1258" s="2464"/>
      <c r="O1258" s="2026">
        <f>'Part VIII Scoring Criteria'!O101</f>
        <v>2</v>
      </c>
      <c r="P1258" s="2026">
        <f>'Part VIII Scoring Criteria'!P101</f>
        <v>0</v>
      </c>
      <c r="Q1258" s="2811" t="str">
        <f>IF(OR($O1258=$M1258,$O1258=0,$O1258=""),"","*CHECK!*")</f>
        <v>*CHECK!*</v>
      </c>
      <c r="R1258" s="2812"/>
      <c r="S1258" s="2027"/>
      <c r="T1258" s="2027"/>
      <c r="U1258" s="2027"/>
      <c r="V1258" s="2027"/>
      <c r="W1258" s="2027"/>
      <c r="X1258" s="2027"/>
      <c r="Y1258" s="2027"/>
      <c r="Z1258" s="2027"/>
      <c r="AA1258" s="2027"/>
      <c r="AB1258" s="2027"/>
      <c r="AC1258" s="2027"/>
      <c r="AD1258" s="2027"/>
      <c r="AE1258" s="2027"/>
      <c r="AF1258" s="2027"/>
    </row>
    <row r="1259" spans="1:32" ht="14.1" customHeight="1">
      <c r="A1259" s="2466"/>
      <c r="B1259" s="1997" t="s">
        <v>5024</v>
      </c>
      <c r="C1259" s="1997"/>
      <c r="D1259" s="1997"/>
      <c r="E1259" s="1997"/>
      <c r="F1259" s="1997"/>
      <c r="G1259" s="1997"/>
      <c r="H1259" s="1997"/>
      <c r="I1259" s="1997"/>
      <c r="J1259" s="1997"/>
      <c r="K1259" s="1997"/>
      <c r="L1259" s="1997"/>
      <c r="M1259" s="2011"/>
      <c r="N1259" s="2011"/>
      <c r="O1259" s="2011"/>
      <c r="P1259" s="2011"/>
      <c r="Q1259" s="2811"/>
      <c r="R1259" s="2812"/>
      <c r="S1259" s="2027"/>
      <c r="T1259" s="2027"/>
      <c r="U1259" s="2027"/>
      <c r="V1259" s="2027"/>
      <c r="W1259" s="2027"/>
      <c r="X1259" s="2027"/>
      <c r="Y1259" s="2027"/>
      <c r="Z1259" s="2027"/>
      <c r="AA1259" s="2027"/>
      <c r="AB1259" s="2027"/>
      <c r="AC1259" s="2027"/>
      <c r="AD1259" s="2027"/>
      <c r="AE1259" s="2027"/>
      <c r="AF1259" s="2027"/>
    </row>
    <row r="1260" spans="1:32" ht="15">
      <c r="A1260" s="2466"/>
      <c r="B1260" s="2813" t="s">
        <v>1839</v>
      </c>
      <c r="C1260" s="1997" t="s">
        <v>4871</v>
      </c>
      <c r="D1260" s="1997"/>
      <c r="E1260" s="1997"/>
      <c r="F1260" s="1997"/>
      <c r="G1260" s="1997"/>
      <c r="H1260" s="1997"/>
      <c r="I1260" s="1997"/>
      <c r="J1260" s="2848" t="s">
        <v>4681</v>
      </c>
      <c r="K1260" s="2848"/>
      <c r="L1260" s="1997"/>
      <c r="M1260" s="2842">
        <v>2</v>
      </c>
      <c r="N1260" s="2847"/>
      <c r="O1260" s="2026">
        <f>'Part VIII Scoring Criteria'!O103</f>
        <v>2</v>
      </c>
      <c r="P1260" s="2026"/>
      <c r="Q1260" s="2811" t="str">
        <f>IF(OR($O1260=$M1260,$O1260=0,$O1260=""),"","*CHECK!*")</f>
        <v/>
      </c>
      <c r="R1260" s="2812"/>
      <c r="S1260" s="2033"/>
      <c r="T1260" s="2033"/>
      <c r="U1260" s="2033"/>
      <c r="V1260" s="2033"/>
      <c r="W1260" s="2033"/>
      <c r="X1260" s="2033"/>
      <c r="Y1260" s="2033"/>
      <c r="Z1260" s="2033"/>
      <c r="AA1260" s="2033"/>
      <c r="AB1260" s="2033"/>
      <c r="AC1260" s="2033"/>
      <c r="AD1260" s="2033"/>
      <c r="AE1260" s="2033"/>
      <c r="AF1260" s="2033"/>
    </row>
    <row r="1261" spans="1:32" ht="15">
      <c r="A1261" s="2466"/>
      <c r="B1261" s="2815" t="s">
        <v>1841</v>
      </c>
      <c r="C1261" s="1997" t="s">
        <v>4872</v>
      </c>
      <c r="D1261" s="1997"/>
      <c r="E1261" s="1997"/>
      <c r="F1261" s="1997"/>
      <c r="G1261" s="1997"/>
      <c r="H1261" s="1997"/>
      <c r="I1261" s="2033"/>
      <c r="J1261" s="2849" t="s">
        <v>4682</v>
      </c>
      <c r="K1261" s="2032" t="s">
        <v>4683</v>
      </c>
      <c r="L1261" s="1997"/>
      <c r="M1261" s="2842">
        <v>3</v>
      </c>
      <c r="N1261" s="2847"/>
      <c r="O1261" s="2026">
        <f>'Part VIII Scoring Criteria'!O104</f>
        <v>0</v>
      </c>
      <c r="P1261" s="2026"/>
      <c r="Q1261" s="2811" t="str">
        <f>IF(OR($O1261=$M1261,$O1261=0,$O1261=""),"","*CHECK!*")</f>
        <v/>
      </c>
      <c r="R1261" s="2812"/>
      <c r="S1261" s="2033"/>
      <c r="T1261" s="2033"/>
      <c r="U1261" s="2033"/>
      <c r="V1261" s="2033"/>
      <c r="W1261" s="2033"/>
      <c r="X1261" s="2033"/>
      <c r="Y1261" s="2033"/>
      <c r="Z1261" s="2033"/>
      <c r="AA1261" s="2033"/>
      <c r="AB1261" s="2033"/>
      <c r="AC1261" s="2033"/>
      <c r="AD1261" s="2033"/>
      <c r="AE1261" s="2033"/>
      <c r="AF1261" s="2033"/>
    </row>
    <row r="1262" spans="1:32" ht="15">
      <c r="A1262" s="2027"/>
      <c r="B1262" s="2027" t="s">
        <v>5023</v>
      </c>
      <c r="C1262" s="2027"/>
      <c r="D1262" s="2027"/>
      <c r="E1262" s="2027"/>
      <c r="F1262" s="2027"/>
      <c r="G1262" s="2027"/>
      <c r="H1262" s="2808"/>
      <c r="I1262" s="2027"/>
      <c r="J1262" s="2029">
        <f>'Part VIII Scoring Criteria'!J105</f>
        <v>8</v>
      </c>
      <c r="K1262" s="2849">
        <v>0.1</v>
      </c>
      <c r="L1262" s="2027"/>
      <c r="M1262" s="2808" t="s">
        <v>5041</v>
      </c>
      <c r="N1262" s="2016"/>
      <c r="O1262" s="2026">
        <f>'Part VIII Scoring Criteria'!O105</f>
        <v>8</v>
      </c>
      <c r="P1262" s="2026"/>
      <c r="Q1262" s="2027"/>
      <c r="R1262" s="2027"/>
      <c r="S1262" s="2027"/>
      <c r="T1262" s="2462"/>
      <c r="U1262" s="2462"/>
      <c r="V1262" s="2027"/>
      <c r="W1262" s="2027"/>
      <c r="X1262" s="2027"/>
      <c r="Y1262" s="2027"/>
      <c r="Z1262" s="2027"/>
      <c r="AA1262" s="2027"/>
      <c r="AB1262" s="2027"/>
      <c r="AC1262" s="2027"/>
      <c r="AD1262" s="2027"/>
      <c r="AE1262" s="2027"/>
      <c r="AF1262" s="2027"/>
    </row>
    <row r="1263" spans="1:32" ht="14.1" customHeight="1">
      <c r="A1263" s="2027"/>
      <c r="B1263" s="2027" t="s">
        <v>5114</v>
      </c>
      <c r="C1263" s="2027"/>
      <c r="D1263" s="2027"/>
      <c r="E1263" s="2027"/>
      <c r="F1263" s="2027"/>
      <c r="G1263" s="2027"/>
      <c r="H1263" s="2027"/>
      <c r="I1263" s="2027"/>
      <c r="J1263" s="2027"/>
      <c r="K1263" s="2027"/>
      <c r="L1263" s="2027"/>
      <c r="M1263" s="2027"/>
      <c r="N1263" s="2016"/>
      <c r="O1263" s="2817" t="str">
        <f>'Part VIII Scoring Criteria'!O106</f>
        <v>Yes</v>
      </c>
      <c r="P1263" s="2817">
        <f>'Part VIII Scoring Criteria'!P106</f>
        <v>0</v>
      </c>
      <c r="Q1263" s="2027"/>
      <c r="R1263" s="2027"/>
      <c r="S1263" s="2027"/>
      <c r="T1263" s="2462"/>
      <c r="U1263" s="2462"/>
      <c r="V1263" s="2027"/>
      <c r="W1263" s="2027"/>
      <c r="X1263" s="2027"/>
      <c r="Y1263" s="2027"/>
      <c r="Z1263" s="2027"/>
      <c r="AA1263" s="2027"/>
      <c r="AB1263" s="2027"/>
      <c r="AC1263" s="2027"/>
      <c r="AD1263" s="2027"/>
      <c r="AE1263" s="2027"/>
      <c r="AF1263" s="2027"/>
    </row>
    <row r="1264" spans="1:32" ht="15">
      <c r="A1264" s="2466" t="s">
        <v>1838</v>
      </c>
      <c r="B1264" s="1996" t="s">
        <v>4137</v>
      </c>
      <c r="C1264" s="1997"/>
      <c r="D1264" s="1997"/>
      <c r="E1264" s="1997"/>
      <c r="F1264" s="1997"/>
      <c r="G1264" s="1997"/>
      <c r="H1264" s="1997"/>
      <c r="I1264" s="1997"/>
      <c r="J1264" s="1997"/>
      <c r="K1264" s="1997"/>
      <c r="L1264" s="1997"/>
      <c r="M1264" s="2011">
        <v>1</v>
      </c>
      <c r="N1264" s="2464"/>
      <c r="O1264" s="2026">
        <f>'Part VIII Scoring Criteria'!O107</f>
        <v>0</v>
      </c>
      <c r="P1264" s="2026"/>
      <c r="Q1264" s="2811" t="str">
        <f>IF(OR($O1264=$M1264,$O1264=0,$O1264=""),"","*CHECK!*")</f>
        <v/>
      </c>
      <c r="R1264" s="2812"/>
      <c r="S1264" s="2027"/>
      <c r="T1264" s="2027"/>
      <c r="U1264" s="2027"/>
      <c r="V1264" s="2027"/>
      <c r="W1264" s="2027"/>
      <c r="X1264" s="2027"/>
      <c r="Y1264" s="2027"/>
      <c r="Z1264" s="2027"/>
      <c r="AA1264" s="2027"/>
      <c r="AB1264" s="2027"/>
      <c r="AC1264" s="2027"/>
      <c r="AD1264" s="2027"/>
      <c r="AE1264" s="2027"/>
      <c r="AF1264" s="2027"/>
    </row>
    <row r="1265" spans="1:32" ht="15">
      <c r="A1265" s="2466" t="s">
        <v>697</v>
      </c>
      <c r="B1265" s="1996" t="s">
        <v>4869</v>
      </c>
      <c r="C1265" s="1997"/>
      <c r="D1265" s="1997"/>
      <c r="E1265" s="1997"/>
      <c r="F1265" s="1997"/>
      <c r="G1265" s="2850" t="s">
        <v>4874</v>
      </c>
      <c r="H1265" s="1997"/>
      <c r="I1265" s="1997"/>
      <c r="J1265" s="1997"/>
      <c r="K1265" s="1997"/>
      <c r="L1265" s="1997"/>
      <c r="M1265" s="2011">
        <v>2</v>
      </c>
      <c r="N1265" s="2464"/>
      <c r="O1265" s="2026">
        <f>'Part VIII Scoring Criteria'!O108</f>
        <v>2</v>
      </c>
      <c r="P1265" s="2026">
        <f>'Part VIII Scoring Criteria'!P108</f>
        <v>2</v>
      </c>
      <c r="Q1265" s="2811" t="str">
        <f>IF(OR($O1265=$M1265,$O1265=0,$O1265=""),"","*CHECK!*")</f>
        <v/>
      </c>
      <c r="R1265" s="1997"/>
      <c r="S1265" s="1997"/>
      <c r="T1265" s="1997"/>
      <c r="U1265" s="1997"/>
      <c r="V1265" s="1997"/>
      <c r="W1265" s="1997"/>
      <c r="X1265" s="1997"/>
      <c r="Y1265" s="1997"/>
      <c r="Z1265" s="1997"/>
      <c r="AA1265" s="1997"/>
      <c r="AB1265" s="1997"/>
      <c r="AC1265" s="1997"/>
      <c r="AD1265" s="1997"/>
      <c r="AE1265" s="1997"/>
      <c r="AF1265" s="1997"/>
    </row>
    <row r="1266" spans="1:32" ht="15">
      <c r="A1266" s="2846"/>
      <c r="B1266" s="1997"/>
      <c r="C1266" s="1996" t="s">
        <v>3093</v>
      </c>
      <c r="D1266" s="2462"/>
      <c r="E1266" s="2462"/>
      <c r="F1266" s="1997"/>
      <c r="G1266" s="1997"/>
      <c r="H1266" s="1997"/>
      <c r="I1266" s="1997"/>
      <c r="J1266" s="1997"/>
      <c r="K1266" s="1997"/>
      <c r="L1266" s="2810"/>
      <c r="M1266" s="2466"/>
      <c r="N1266" s="2011"/>
      <c r="O1266" s="2026">
        <v>2</v>
      </c>
      <c r="P1266" s="2026">
        <v>2</v>
      </c>
      <c r="Q1266" s="2466"/>
      <c r="R1266" s="1997"/>
      <c r="S1266" s="1997"/>
      <c r="T1266" s="1997"/>
      <c r="U1266" s="1997"/>
      <c r="V1266" s="1997"/>
      <c r="W1266" s="1997"/>
      <c r="X1266" s="1997"/>
      <c r="Y1266" s="1997"/>
      <c r="Z1266" s="1997"/>
      <c r="AA1266" s="1997"/>
      <c r="AB1266" s="1997"/>
      <c r="AC1266" s="1997"/>
      <c r="AD1266" s="1997"/>
      <c r="AE1266" s="1997"/>
      <c r="AF1266" s="1997"/>
    </row>
    <row r="1267" spans="1:32" ht="15">
      <c r="A1267" s="2846"/>
      <c r="B1267" s="1997"/>
      <c r="C1267" s="1996" t="s">
        <v>3094</v>
      </c>
      <c r="D1267" s="2462"/>
      <c r="E1267" s="2462"/>
      <c r="F1267" s="1997"/>
      <c r="G1267" s="1997"/>
      <c r="H1267" s="1997"/>
      <c r="I1267" s="1997"/>
      <c r="J1267" s="1997"/>
      <c r="K1267" s="1997"/>
      <c r="L1267" s="2810"/>
      <c r="M1267" s="2466"/>
      <c r="N1267" s="2011"/>
      <c r="O1267" s="2026">
        <f>'Part VIII Scoring Criteria'!O110</f>
        <v>0</v>
      </c>
      <c r="P1267" s="2026"/>
      <c r="Q1267" s="2466"/>
      <c r="R1267" s="2812"/>
      <c r="S1267" s="1997"/>
      <c r="T1267" s="1997"/>
      <c r="U1267" s="1997"/>
      <c r="V1267" s="1997"/>
      <c r="W1267" s="1997"/>
      <c r="X1267" s="1997"/>
      <c r="Y1267" s="1997"/>
      <c r="Z1267" s="1997"/>
      <c r="AA1267" s="1997"/>
      <c r="AB1267" s="1997"/>
      <c r="AC1267" s="1997"/>
      <c r="AD1267" s="1997"/>
      <c r="AE1267" s="1997"/>
      <c r="AF1267" s="1997"/>
    </row>
    <row r="1268" spans="1:32" ht="15">
      <c r="A1268" s="1997"/>
      <c r="B1268" s="2806" t="s">
        <v>5113</v>
      </c>
      <c r="C1268" s="1997"/>
      <c r="D1268" s="1997"/>
      <c r="E1268" s="1997"/>
      <c r="F1268" s="1997"/>
      <c r="G1268" s="1997"/>
      <c r="H1268" s="1997"/>
      <c r="I1268" s="1997"/>
      <c r="J1268" s="1997"/>
      <c r="K1268" s="1997"/>
      <c r="L1268" s="2027"/>
      <c r="M1268" s="2011"/>
      <c r="N1268" s="2016"/>
      <c r="O1268" s="2026"/>
      <c r="P1268" s="2029"/>
      <c r="Q1268" s="2027"/>
      <c r="R1268" s="2027"/>
      <c r="S1268" s="2027"/>
      <c r="T1268" s="2027"/>
      <c r="U1268" s="2027"/>
      <c r="V1268" s="2027"/>
      <c r="W1268" s="2027"/>
      <c r="X1268" s="2027"/>
      <c r="Y1268" s="2027"/>
      <c r="Z1268" s="2027"/>
      <c r="AA1268" s="2027"/>
      <c r="AB1268" s="2027"/>
      <c r="AC1268" s="2027"/>
      <c r="AD1268" s="2027"/>
      <c r="AE1268" s="2027"/>
      <c r="AF1268" s="2027"/>
    </row>
    <row r="1269" spans="1:32" ht="15">
      <c r="A1269" s="2821" t="str">
        <f>'Part VIII Scoring Criteria'!A112</f>
        <v>Applicant commits to providing eight (8) units for referral and will execute the MOU, post selection, as stated in the QAP.</v>
      </c>
      <c r="B1269" s="2821"/>
      <c r="C1269" s="2821"/>
      <c r="D1269" s="2821"/>
      <c r="E1269" s="2821"/>
      <c r="F1269" s="2821"/>
      <c r="G1269" s="2821"/>
      <c r="H1269" s="2821"/>
      <c r="I1269" s="2821"/>
      <c r="J1269" s="2821"/>
      <c r="K1269" s="2821"/>
      <c r="L1269" s="2821"/>
      <c r="M1269" s="2821"/>
      <c r="N1269" s="2821"/>
      <c r="O1269" s="2821"/>
      <c r="P1269" s="2821"/>
      <c r="Q1269" s="1996"/>
      <c r="R1269" s="1996"/>
      <c r="S1269" s="2027"/>
      <c r="T1269" s="2027"/>
      <c r="U1269" s="2027"/>
      <c r="V1269" s="2027"/>
      <c r="W1269" s="2027"/>
      <c r="X1269" s="2027"/>
      <c r="Y1269" s="2027"/>
      <c r="Z1269" s="2027"/>
      <c r="AA1269" s="2027"/>
      <c r="AB1269" s="2027"/>
      <c r="AC1269" s="2027"/>
      <c r="AD1269" s="2027"/>
      <c r="AE1269" s="2027"/>
      <c r="AF1269" s="2027"/>
    </row>
    <row r="1270" spans="1:32" ht="15">
      <c r="A1270" s="2027"/>
      <c r="B1270" s="2821" t="s">
        <v>1725</v>
      </c>
      <c r="C1270" s="1997"/>
      <c r="D1270" s="2821"/>
      <c r="E1270" s="2034"/>
      <c r="F1270" s="2034"/>
      <c r="G1270" s="2034"/>
      <c r="H1270" s="2034"/>
      <c r="I1270" s="2034"/>
      <c r="J1270" s="2034"/>
      <c r="K1270" s="2034"/>
      <c r="L1270" s="2034"/>
      <c r="M1270" s="2034"/>
      <c r="N1270" s="2032"/>
      <c r="O1270" s="2817"/>
      <c r="P1270" s="2466"/>
      <c r="Q1270" s="2027"/>
      <c r="R1270" s="2027"/>
      <c r="S1270" s="2027"/>
      <c r="T1270" s="2027"/>
      <c r="U1270" s="2027"/>
      <c r="V1270" s="2027"/>
      <c r="W1270" s="2027"/>
      <c r="X1270" s="2027"/>
      <c r="Y1270" s="2027"/>
      <c r="Z1270" s="2027"/>
      <c r="AA1270" s="2027"/>
      <c r="AB1270" s="2027"/>
      <c r="AC1270" s="2027"/>
      <c r="AD1270" s="2027"/>
      <c r="AE1270" s="2027"/>
      <c r="AF1270" s="2027"/>
    </row>
    <row r="1271" spans="1:32" ht="15">
      <c r="A1271" s="2033"/>
      <c r="B1271" s="2033"/>
      <c r="C1271" s="2033"/>
      <c r="D1271" s="2033"/>
      <c r="E1271" s="2033"/>
      <c r="F1271" s="2033"/>
      <c r="G1271" s="2033"/>
      <c r="H1271" s="2033"/>
      <c r="I1271" s="2033"/>
      <c r="J1271" s="2033"/>
      <c r="K1271" s="2033"/>
      <c r="L1271" s="2033"/>
      <c r="M1271" s="2033"/>
      <c r="N1271" s="2033"/>
      <c r="O1271" s="2033"/>
      <c r="P1271" s="2033"/>
      <c r="Q1271" s="1996"/>
      <c r="R1271" s="2027"/>
      <c r="S1271" s="2027"/>
      <c r="T1271" s="2027"/>
      <c r="U1271" s="2027"/>
      <c r="V1271" s="2027"/>
      <c r="W1271" s="2027"/>
      <c r="X1271" s="2027"/>
      <c r="Y1271" s="2027"/>
      <c r="Z1271" s="2027"/>
      <c r="AA1271" s="2027"/>
      <c r="AB1271" s="2027"/>
      <c r="AC1271" s="2027"/>
      <c r="AD1271" s="2027"/>
      <c r="AE1271" s="2027"/>
      <c r="AF1271" s="2027"/>
    </row>
    <row r="1272" spans="1:32" ht="15">
      <c r="A1272" s="2846"/>
      <c r="B1272" s="1997"/>
      <c r="C1272" s="2034"/>
      <c r="D1272" s="2034"/>
      <c r="E1272" s="2034"/>
      <c r="F1272" s="2034"/>
      <c r="G1272" s="2034"/>
      <c r="H1272" s="2034"/>
      <c r="I1272" s="2034"/>
      <c r="J1272" s="2034"/>
      <c r="K1272" s="2034"/>
      <c r="L1272" s="2034"/>
      <c r="M1272" s="2034"/>
      <c r="N1272" s="2032"/>
      <c r="O1272" s="2817"/>
      <c r="P1272" s="2466"/>
      <c r="Q1272" s="2027"/>
      <c r="R1272" s="2027"/>
      <c r="S1272" s="2027"/>
      <c r="T1272" s="2027"/>
      <c r="U1272" s="2027"/>
      <c r="V1272" s="2027"/>
      <c r="W1272" s="2027"/>
      <c r="X1272" s="2027"/>
      <c r="Y1272" s="2027"/>
      <c r="Z1272" s="2027"/>
      <c r="AA1272" s="2027"/>
      <c r="AB1272" s="2027"/>
      <c r="AC1272" s="2027"/>
      <c r="AD1272" s="2027"/>
      <c r="AE1272" s="2027"/>
      <c r="AF1272" s="2027"/>
    </row>
    <row r="1273" spans="1:32" ht="15">
      <c r="A1273" s="2846"/>
      <c r="B1273" s="1997"/>
      <c r="C1273" s="2034"/>
      <c r="D1273" s="2034"/>
      <c r="E1273" s="2034"/>
      <c r="F1273" s="2034"/>
      <c r="G1273" s="2034"/>
      <c r="H1273" s="2034"/>
      <c r="I1273" s="2034"/>
      <c r="J1273" s="2034"/>
      <c r="K1273" s="2034"/>
      <c r="L1273" s="2034"/>
      <c r="M1273" s="2034"/>
      <c r="N1273" s="2032"/>
      <c r="O1273" s="2817"/>
      <c r="P1273" s="2466"/>
      <c r="Q1273" s="2027"/>
      <c r="R1273" s="2027"/>
      <c r="S1273" s="2027"/>
      <c r="T1273" s="2027"/>
      <c r="U1273" s="2027"/>
      <c r="V1273" s="2027"/>
      <c r="W1273" s="2027"/>
      <c r="X1273" s="2027"/>
      <c r="Y1273" s="2027"/>
      <c r="Z1273" s="2027"/>
      <c r="AA1273" s="2027"/>
      <c r="AB1273" s="2027"/>
      <c r="AC1273" s="2027"/>
      <c r="AD1273" s="2027"/>
      <c r="AE1273" s="2027"/>
      <c r="AF1273" s="2027"/>
    </row>
    <row r="1274" spans="1:32" ht="15">
      <c r="A1274" s="2846" t="s">
        <v>280</v>
      </c>
      <c r="B1274" s="2462" t="s">
        <v>4848</v>
      </c>
      <c r="C1274" s="1997"/>
      <c r="D1274" s="2462"/>
      <c r="E1274" s="2462"/>
      <c r="F1274" s="1997"/>
      <c r="G1274" s="1997"/>
      <c r="H1274" s="1997"/>
      <c r="I1274" s="1997"/>
      <c r="J1274" s="1997"/>
      <c r="K1274" s="1997"/>
      <c r="L1274" s="2808" t="s">
        <v>4896</v>
      </c>
      <c r="M1274" s="2466">
        <v>13</v>
      </c>
      <c r="N1274" s="2011"/>
      <c r="O1274" s="2026">
        <f>'Part VIII Scoring Criteria'!O117</f>
        <v>13</v>
      </c>
      <c r="P1274" s="2026">
        <f>'Part VIII Scoring Criteria'!P117</f>
        <v>0</v>
      </c>
      <c r="Q1274" s="2466" t="s">
        <v>415</v>
      </c>
      <c r="R1274" s="2812"/>
      <c r="S1274" s="1997"/>
      <c r="T1274" s="1997"/>
      <c r="U1274" s="1997"/>
      <c r="V1274" s="1997"/>
      <c r="W1274" s="1997"/>
      <c r="X1274" s="1997"/>
      <c r="Y1274" s="1997"/>
      <c r="Z1274" s="1997"/>
      <c r="AA1274" s="1997"/>
      <c r="AB1274" s="1997"/>
      <c r="AC1274" s="1997"/>
      <c r="AD1274" s="1997"/>
      <c r="AE1274" s="1997"/>
      <c r="AF1274" s="1997"/>
    </row>
    <row r="1275" spans="1:32" ht="15">
      <c r="A1275" s="2466" t="s">
        <v>1836</v>
      </c>
      <c r="B1275" s="1996" t="s">
        <v>4891</v>
      </c>
      <c r="C1275" s="1996"/>
      <c r="D1275" s="1996"/>
      <c r="E1275" s="1997"/>
      <c r="F1275" s="2851"/>
      <c r="G1275" s="1997"/>
      <c r="H1275" s="2464"/>
      <c r="I1275" s="1996"/>
      <c r="J1275" s="1996"/>
      <c r="K1275" s="1996"/>
      <c r="L1275" s="1996"/>
      <c r="M1275" s="1996"/>
      <c r="N1275" s="1996"/>
      <c r="O1275" s="1996"/>
      <c r="P1275" s="1996"/>
      <c r="Q1275" s="2809"/>
      <c r="R1275" s="2812"/>
      <c r="S1275" s="1997"/>
      <c r="T1275" s="1997"/>
      <c r="U1275" s="1997"/>
      <c r="V1275" s="1997"/>
      <c r="W1275" s="1997"/>
      <c r="X1275" s="1997"/>
      <c r="Y1275" s="1997"/>
      <c r="Z1275" s="1997"/>
      <c r="AA1275" s="1997"/>
      <c r="AB1275" s="1997"/>
      <c r="AC1275" s="1997"/>
      <c r="AD1275" s="1997"/>
      <c r="AE1275" s="1997"/>
      <c r="AF1275" s="1997"/>
    </row>
    <row r="1276" spans="1:32" ht="15">
      <c r="A1276" s="2466"/>
      <c r="B1276" s="1997" t="s">
        <v>4968</v>
      </c>
      <c r="C1276" s="1996"/>
      <c r="D1276" s="1996"/>
      <c r="E1276" s="1997"/>
      <c r="F1276" s="2851"/>
      <c r="G1276" s="1997"/>
      <c r="H1276" s="2464"/>
      <c r="I1276" s="1996"/>
      <c r="J1276" s="1996"/>
      <c r="K1276" s="1996"/>
      <c r="L1276" s="1996"/>
      <c r="M1276" s="1996"/>
      <c r="N1276" s="1996"/>
      <c r="O1276" s="1996"/>
      <c r="P1276" s="1996"/>
      <c r="Q1276" s="2809"/>
      <c r="R1276" s="2812"/>
      <c r="S1276" s="1997"/>
      <c r="T1276" s="1997"/>
      <c r="U1276" s="1997"/>
      <c r="V1276" s="1997"/>
      <c r="W1276" s="1997"/>
      <c r="X1276" s="1997"/>
      <c r="Y1276" s="1997"/>
      <c r="Z1276" s="1997"/>
      <c r="AA1276" s="1997"/>
      <c r="AB1276" s="1997"/>
      <c r="AC1276" s="1997"/>
      <c r="AD1276" s="1997"/>
      <c r="AE1276" s="1997"/>
      <c r="AF1276" s="1997"/>
    </row>
    <row r="1277" spans="1:32" ht="15">
      <c r="A1277" s="2466"/>
      <c r="B1277" s="1997"/>
      <c r="C1277" s="1996" t="s">
        <v>4972</v>
      </c>
      <c r="D1277" s="1996"/>
      <c r="E1277" s="1997"/>
      <c r="F1277" s="2851"/>
      <c r="G1277" s="1997"/>
      <c r="H1277" s="2464"/>
      <c r="I1277" s="1996"/>
      <c r="J1277" s="1996"/>
      <c r="K1277" s="1996"/>
      <c r="L1277" s="1996"/>
      <c r="M1277" s="1996"/>
      <c r="N1277" s="1996"/>
      <c r="O1277" s="1996"/>
      <c r="P1277" s="1996"/>
      <c r="Q1277" s="2809"/>
      <c r="R1277" s="2812"/>
      <c r="S1277" s="1997"/>
      <c r="T1277" s="1997"/>
      <c r="U1277" s="1997"/>
      <c r="V1277" s="1997"/>
      <c r="W1277" s="1997"/>
      <c r="X1277" s="1997"/>
      <c r="Y1277" s="1997"/>
      <c r="Z1277" s="1997"/>
      <c r="AA1277" s="1997"/>
      <c r="AB1277" s="1997"/>
      <c r="AC1277" s="1997"/>
      <c r="AD1277" s="1997"/>
      <c r="AE1277" s="1997"/>
      <c r="AF1277" s="1997"/>
    </row>
    <row r="1278" spans="1:32" ht="15">
      <c r="A1278" s="2466"/>
      <c r="B1278" s="2813"/>
      <c r="C1278" s="2030" t="s">
        <v>4966</v>
      </c>
      <c r="D1278" s="1997"/>
      <c r="E1278" s="1997"/>
      <c r="F1278" s="2466"/>
      <c r="G1278" s="1997"/>
      <c r="H1278" s="1997"/>
      <c r="I1278" s="2466"/>
      <c r="J1278" s="2011" t="s">
        <v>4967</v>
      </c>
      <c r="K1278" s="1997"/>
      <c r="L1278" s="2810"/>
      <c r="M1278" s="2842">
        <v>5</v>
      </c>
      <c r="N1278" s="2464"/>
      <c r="O1278" s="2026">
        <f>'Part VIII Scoring Criteria'!O121</f>
        <v>5</v>
      </c>
      <c r="P1278" s="2026">
        <f>'Part VIII Scoring Criteria'!P121</f>
        <v>0</v>
      </c>
      <c r="Q1278" s="2812"/>
      <c r="R1278" s="1997"/>
      <c r="S1278" s="1997"/>
      <c r="T1278" s="1997"/>
      <c r="U1278" s="1997"/>
      <c r="V1278" s="2462"/>
      <c r="W1278" s="1997"/>
      <c r="X1278" s="1997"/>
      <c r="Y1278" s="1997"/>
      <c r="Z1278" s="1997"/>
      <c r="AA1278" s="1997"/>
      <c r="AB1278" s="1997"/>
      <c r="AC1278" s="1997"/>
      <c r="AD1278" s="1997"/>
      <c r="AE1278" s="1997"/>
      <c r="AF1278" s="1997"/>
    </row>
    <row r="1279" spans="1:32" ht="15">
      <c r="A1279" s="2466"/>
      <c r="B1279" s="2814"/>
      <c r="C1279" s="1996"/>
      <c r="D1279" s="2030" t="s">
        <v>4969</v>
      </c>
      <c r="E1279" s="1997"/>
      <c r="F1279" s="2466"/>
      <c r="G1279" s="1997"/>
      <c r="H1279" s="1997"/>
      <c r="I1279" s="2466"/>
      <c r="J1279" s="2817" t="str">
        <f>'Part VIII Scoring Criteria'!J122</f>
        <v>Submitted</v>
      </c>
      <c r="K1279" s="1997"/>
      <c r="L1279" s="1997"/>
      <c r="M1279" s="2842"/>
      <c r="N1279" s="2464"/>
      <c r="O1279" s="2466" t="str">
        <f>IF($J1279="Submitted", "Yes","")</f>
        <v>Yes</v>
      </c>
      <c r="P1279" s="2466"/>
      <c r="Q1279" s="2464"/>
      <c r="R1279" s="1997"/>
      <c r="S1279" s="1997"/>
      <c r="T1279" s="1997"/>
      <c r="U1279" s="1997"/>
      <c r="V1279" s="2462"/>
      <c r="W1279" s="1997"/>
      <c r="X1279" s="1997"/>
      <c r="Y1279" s="1997"/>
      <c r="Z1279" s="1997"/>
      <c r="AA1279" s="1997"/>
      <c r="AB1279" s="1997"/>
      <c r="AC1279" s="1997"/>
      <c r="AD1279" s="1997"/>
      <c r="AE1279" s="1997"/>
      <c r="AF1279" s="1997"/>
    </row>
    <row r="1280" spans="1:32" ht="15">
      <c r="A1280" s="2466"/>
      <c r="B1280" s="2814"/>
      <c r="C1280" s="1996"/>
      <c r="D1280" s="2030" t="s">
        <v>4970</v>
      </c>
      <c r="E1280" s="1997"/>
      <c r="F1280" s="2466"/>
      <c r="G1280" s="1997"/>
      <c r="H1280" s="1997"/>
      <c r="I1280" s="2466"/>
      <c r="J1280" s="2817" t="str">
        <f>'Part VIII Scoring Criteria'!J123</f>
        <v>Submitted</v>
      </c>
      <c r="K1280" s="2464"/>
      <c r="L1280" s="1997"/>
      <c r="M1280" s="2842"/>
      <c r="N1280" s="2464"/>
      <c r="O1280" s="2466" t="str">
        <f>IF($J1280="Submitted", "Yes","")</f>
        <v>Yes</v>
      </c>
      <c r="P1280" s="2817"/>
      <c r="Q1280" s="2464"/>
      <c r="R1280" s="1997"/>
      <c r="S1280" s="1997"/>
      <c r="T1280" s="1997"/>
      <c r="U1280" s="1997"/>
      <c r="V1280" s="2462"/>
      <c r="W1280" s="1997"/>
      <c r="X1280" s="1997"/>
      <c r="Y1280" s="1997"/>
      <c r="Z1280" s="1997"/>
      <c r="AA1280" s="1997"/>
      <c r="AB1280" s="1997"/>
      <c r="AC1280" s="1997"/>
      <c r="AD1280" s="1997"/>
      <c r="AE1280" s="1997"/>
      <c r="AF1280" s="1997"/>
    </row>
    <row r="1281" spans="1:32" ht="15">
      <c r="A1281" s="2466"/>
      <c r="B1281" s="2814"/>
      <c r="C1281" s="2030" t="s">
        <v>4893</v>
      </c>
      <c r="D1281" s="1996"/>
      <c r="E1281" s="1997"/>
      <c r="F1281" s="2466"/>
      <c r="G1281" s="1997"/>
      <c r="H1281" s="1997"/>
      <c r="I1281" s="2466"/>
      <c r="J1281" s="2817" t="str">
        <f>'Part VIII Scoring Criteria'!J124</f>
        <v>Submitted</v>
      </c>
      <c r="K1281" s="2030"/>
      <c r="L1281" s="2810" t="str">
        <f t="shared" ref="L1281:L1289" si="421">IF(OR($O1281=$M1281,$O1281=0,$O1281=""),"","* * Check Score! * *")</f>
        <v/>
      </c>
      <c r="M1281" s="2842">
        <v>1</v>
      </c>
      <c r="N1281" s="2464"/>
      <c r="O1281" s="2026">
        <f>'Part VIII Scoring Criteria'!O124</f>
        <v>1</v>
      </c>
      <c r="P1281" s="2026"/>
      <c r="Q1281" s="2464"/>
      <c r="R1281" s="1997"/>
      <c r="S1281" s="1997"/>
      <c r="T1281" s="1997"/>
      <c r="U1281" s="1997"/>
      <c r="V1281" s="2462"/>
      <c r="W1281" s="1997"/>
      <c r="X1281" s="1997"/>
      <c r="Y1281" s="1997"/>
      <c r="Z1281" s="1997"/>
      <c r="AA1281" s="1997"/>
      <c r="AB1281" s="1997"/>
      <c r="AC1281" s="1997"/>
      <c r="AD1281" s="1997"/>
      <c r="AE1281" s="1997"/>
      <c r="AF1281" s="1997"/>
    </row>
    <row r="1282" spans="1:32" ht="15">
      <c r="A1282" s="2466"/>
      <c r="B1282" s="2814"/>
      <c r="C1282" s="2030" t="s">
        <v>4894</v>
      </c>
      <c r="D1282" s="1996"/>
      <c r="E1282" s="1997"/>
      <c r="F1282" s="2466"/>
      <c r="G1282" s="1997"/>
      <c r="H1282" s="1997"/>
      <c r="I1282" s="2466"/>
      <c r="J1282" s="2817" t="str">
        <f>'Part VIII Scoring Criteria'!J125</f>
        <v>Submitted</v>
      </c>
      <c r="K1282" s="2030"/>
      <c r="L1282" s="2819" t="str">
        <f t="shared" si="421"/>
        <v/>
      </c>
      <c r="M1282" s="2842">
        <v>1</v>
      </c>
      <c r="N1282" s="2464"/>
      <c r="O1282" s="2026">
        <f>'Part VIII Scoring Criteria'!O125</f>
        <v>1</v>
      </c>
      <c r="P1282" s="2026"/>
      <c r="Q1282" s="2812"/>
      <c r="R1282" s="1997"/>
      <c r="S1282" s="1997"/>
      <c r="T1282" s="1997"/>
      <c r="U1282" s="1997"/>
      <c r="V1282" s="2462"/>
      <c r="W1282" s="1997"/>
      <c r="X1282" s="1997"/>
      <c r="Y1282" s="1997"/>
      <c r="Z1282" s="1997"/>
      <c r="AA1282" s="1997"/>
      <c r="AB1282" s="1997"/>
      <c r="AC1282" s="1997"/>
      <c r="AD1282" s="1997"/>
      <c r="AE1282" s="1997"/>
      <c r="AF1282" s="1997"/>
    </row>
    <row r="1283" spans="1:32" ht="15">
      <c r="A1283" s="2466"/>
      <c r="B1283" s="2813"/>
      <c r="C1283" s="2030" t="s">
        <v>4971</v>
      </c>
      <c r="D1283" s="1996"/>
      <c r="E1283" s="1997"/>
      <c r="F1283" s="2466"/>
      <c r="G1283" s="1997"/>
      <c r="H1283" s="1997"/>
      <c r="I1283" s="2466"/>
      <c r="J1283" s="2817" t="str">
        <f>'Part VIII Scoring Criteria'!J126</f>
        <v>Submitted</v>
      </c>
      <c r="K1283" s="2030"/>
      <c r="L1283" s="2810" t="str">
        <f t="shared" si="421"/>
        <v/>
      </c>
      <c r="M1283" s="2842">
        <v>1</v>
      </c>
      <c r="N1283" s="2464"/>
      <c r="O1283" s="2026">
        <f>'Part VIII Scoring Criteria'!O126</f>
        <v>1</v>
      </c>
      <c r="P1283" s="2026"/>
      <c r="Q1283" s="2812"/>
      <c r="R1283" s="1997"/>
      <c r="S1283" s="1997"/>
      <c r="T1283" s="1997"/>
      <c r="U1283" s="1997"/>
      <c r="V1283" s="2462"/>
      <c r="W1283" s="1997"/>
      <c r="X1283" s="1997"/>
      <c r="Y1283" s="1997"/>
      <c r="Z1283" s="1997"/>
      <c r="AA1283" s="1997"/>
      <c r="AB1283" s="1997"/>
      <c r="AC1283" s="1997"/>
      <c r="AD1283" s="1997"/>
      <c r="AE1283" s="1997"/>
      <c r="AF1283" s="1997"/>
    </row>
    <row r="1284" spans="1:32" ht="15">
      <c r="A1284" s="2466"/>
      <c r="B1284" s="2813"/>
      <c r="C1284" s="2812" t="s">
        <v>5012</v>
      </c>
      <c r="D1284" s="1996"/>
      <c r="E1284" s="1997"/>
      <c r="F1284" s="2466"/>
      <c r="G1284" s="1997"/>
      <c r="H1284" s="1997"/>
      <c r="I1284" s="1997"/>
      <c r="J1284" s="1997"/>
      <c r="K1284" s="1997"/>
      <c r="L1284" s="1997"/>
      <c r="M1284" s="1997"/>
      <c r="N1284" s="1997"/>
      <c r="O1284" s="1997"/>
      <c r="P1284" s="1997"/>
      <c r="Q1284" s="1997"/>
      <c r="R1284" s="1997"/>
      <c r="S1284" s="1997"/>
      <c r="T1284" s="1997"/>
      <c r="U1284" s="1997"/>
      <c r="V1284" s="2462"/>
      <c r="W1284" s="1997"/>
      <c r="X1284" s="1997"/>
      <c r="Y1284" s="1997"/>
      <c r="Z1284" s="1997"/>
      <c r="AA1284" s="1997"/>
      <c r="AB1284" s="1997"/>
      <c r="AC1284" s="1997"/>
      <c r="AD1284" s="1997"/>
      <c r="AE1284" s="1997"/>
      <c r="AF1284" s="1997"/>
    </row>
    <row r="1285" spans="1:32" ht="15">
      <c r="A1285" s="2466"/>
      <c r="B1285" s="2815"/>
      <c r="C1285" s="2030" t="s">
        <v>5013</v>
      </c>
      <c r="D1285" s="1997"/>
      <c r="E1285" s="1997"/>
      <c r="F1285" s="2011"/>
      <c r="G1285" s="1997"/>
      <c r="H1285" s="1997"/>
      <c r="I1285" s="2011"/>
      <c r="J1285" s="2817" t="str">
        <f>'Part VIII Scoring Criteria'!J128</f>
        <v>Submitted</v>
      </c>
      <c r="K1285" s="2030"/>
      <c r="L1285" s="2810" t="str">
        <f t="shared" si="421"/>
        <v/>
      </c>
      <c r="M1285" s="2842">
        <v>1</v>
      </c>
      <c r="N1285" s="2464"/>
      <c r="O1285" s="2026">
        <f>'Part VIII Scoring Criteria'!O128</f>
        <v>1</v>
      </c>
      <c r="P1285" s="2026"/>
      <c r="Q1285" s="2812"/>
      <c r="R1285" s="1997"/>
      <c r="S1285" s="1997"/>
      <c r="T1285" s="1997"/>
      <c r="U1285" s="1997"/>
      <c r="V1285" s="2462"/>
      <c r="W1285" s="1997"/>
      <c r="X1285" s="1997"/>
      <c r="Y1285" s="1997"/>
      <c r="Z1285" s="1997"/>
      <c r="AA1285" s="1997"/>
      <c r="AB1285" s="1997"/>
      <c r="AC1285" s="1997"/>
      <c r="AD1285" s="1997"/>
      <c r="AE1285" s="1997"/>
      <c r="AF1285" s="1997"/>
    </row>
    <row r="1286" spans="1:32" ht="15">
      <c r="A1286" s="2466"/>
      <c r="B1286" s="2815"/>
      <c r="C1286" s="2033" t="s">
        <v>4973</v>
      </c>
      <c r="D1286" s="2033"/>
      <c r="E1286" s="2033"/>
      <c r="F1286" s="2033"/>
      <c r="G1286" s="2033"/>
      <c r="H1286" s="2033"/>
      <c r="I1286" s="2033"/>
      <c r="J1286" s="2817" t="str">
        <f>'Part VIII Scoring Criteria'!J129</f>
        <v>Submitted</v>
      </c>
      <c r="K1286" s="2033"/>
      <c r="L1286" s="2810" t="str">
        <f t="shared" si="421"/>
        <v/>
      </c>
      <c r="M1286" s="2852">
        <v>1</v>
      </c>
      <c r="N1286" s="2818"/>
      <c r="O1286" s="2026">
        <f>'Part VIII Scoring Criteria'!O129</f>
        <v>1</v>
      </c>
      <c r="P1286" s="2853"/>
      <c r="Q1286" s="2812"/>
      <c r="R1286" s="1997"/>
      <c r="S1286" s="1997"/>
      <c r="T1286" s="1997"/>
      <c r="U1286" s="1997"/>
      <c r="V1286" s="2462"/>
      <c r="W1286" s="1997"/>
      <c r="X1286" s="1997"/>
      <c r="Y1286" s="1997"/>
      <c r="Z1286" s="1997"/>
      <c r="AA1286" s="1997"/>
      <c r="AB1286" s="1997"/>
      <c r="AC1286" s="1997"/>
      <c r="AD1286" s="1997"/>
      <c r="AE1286" s="1997"/>
      <c r="AF1286" s="1997"/>
    </row>
    <row r="1287" spans="1:32" ht="15">
      <c r="A1287" s="2466"/>
      <c r="B1287" s="2815"/>
      <c r="C1287" s="2030" t="s">
        <v>4974</v>
      </c>
      <c r="D1287" s="1997"/>
      <c r="E1287" s="1997"/>
      <c r="F1287" s="2466"/>
      <c r="G1287" s="1997"/>
      <c r="H1287" s="1997"/>
      <c r="I1287" s="2466"/>
      <c r="J1287" s="2817" t="str">
        <f>'Part VIII Scoring Criteria'!J130</f>
        <v>Submitted</v>
      </c>
      <c r="K1287" s="2030"/>
      <c r="L1287" s="2810" t="str">
        <f t="shared" si="421"/>
        <v/>
      </c>
      <c r="M1287" s="2842">
        <v>1</v>
      </c>
      <c r="N1287" s="2464"/>
      <c r="O1287" s="2026">
        <f>'Part VIII Scoring Criteria'!O130</f>
        <v>1</v>
      </c>
      <c r="P1287" s="2026"/>
      <c r="Q1287" s="2812"/>
      <c r="R1287" s="1997"/>
      <c r="S1287" s="1997"/>
      <c r="T1287" s="1997"/>
      <c r="U1287" s="1997"/>
      <c r="V1287" s="2462"/>
      <c r="W1287" s="1997"/>
      <c r="X1287" s="1997"/>
      <c r="Y1287" s="1997"/>
      <c r="Z1287" s="1997"/>
      <c r="AA1287" s="1997"/>
      <c r="AB1287" s="1997"/>
      <c r="AC1287" s="1997"/>
      <c r="AD1287" s="1997"/>
      <c r="AE1287" s="1997"/>
      <c r="AF1287" s="1997"/>
    </row>
    <row r="1288" spans="1:32" ht="15">
      <c r="A1288" s="2466"/>
      <c r="B1288" s="2813"/>
      <c r="C1288" s="2030" t="s">
        <v>4895</v>
      </c>
      <c r="D1288" s="1997"/>
      <c r="E1288" s="1997"/>
      <c r="F1288" s="2466"/>
      <c r="G1288" s="1997"/>
      <c r="H1288" s="1997"/>
      <c r="I1288" s="2466"/>
      <c r="J1288" s="2817" t="str">
        <f>'Part VIII Scoring Criteria'!J131</f>
        <v>Submitted</v>
      </c>
      <c r="K1288" s="2030"/>
      <c r="L1288" s="2810" t="str">
        <f t="shared" si="421"/>
        <v/>
      </c>
      <c r="M1288" s="2842">
        <v>1</v>
      </c>
      <c r="N1288" s="2464"/>
      <c r="O1288" s="2026">
        <f>'Part VIII Scoring Criteria'!O131</f>
        <v>1</v>
      </c>
      <c r="P1288" s="2026"/>
      <c r="Q1288" s="2812"/>
      <c r="R1288" s="1997"/>
      <c r="S1288" s="1997"/>
      <c r="T1288" s="1997"/>
      <c r="U1288" s="1997"/>
      <c r="V1288" s="2462"/>
      <c r="W1288" s="1997"/>
      <c r="X1288" s="1997"/>
      <c r="Y1288" s="1997"/>
      <c r="Z1288" s="1997"/>
      <c r="AA1288" s="1997"/>
      <c r="AB1288" s="1997"/>
      <c r="AC1288" s="1997"/>
      <c r="AD1288" s="1997"/>
      <c r="AE1288" s="1997"/>
      <c r="AF1288" s="1997"/>
    </row>
    <row r="1289" spans="1:32" ht="15">
      <c r="A1289" s="2466"/>
      <c r="B1289" s="2815"/>
      <c r="C1289" s="2030" t="s">
        <v>4975</v>
      </c>
      <c r="D1289" s="1997"/>
      <c r="E1289" s="1997"/>
      <c r="F1289" s="2466"/>
      <c r="G1289" s="1997"/>
      <c r="H1289" s="1997"/>
      <c r="I1289" s="2466"/>
      <c r="J1289" s="2817" t="str">
        <f>'Part VIII Scoring Criteria'!J132</f>
        <v>N/A</v>
      </c>
      <c r="K1289" s="2030"/>
      <c r="L1289" s="2810" t="str">
        <f t="shared" si="421"/>
        <v/>
      </c>
      <c r="M1289" s="2842">
        <v>1</v>
      </c>
      <c r="N1289" s="2464"/>
      <c r="O1289" s="2026">
        <f>'Part VIII Scoring Criteria'!O132</f>
        <v>1</v>
      </c>
      <c r="P1289" s="2026"/>
      <c r="Q1289" s="2812"/>
      <c r="R1289" s="1997"/>
      <c r="S1289" s="1997"/>
      <c r="T1289" s="1997"/>
      <c r="U1289" s="1997"/>
      <c r="V1289" s="2462"/>
      <c r="W1289" s="1997"/>
      <c r="X1289" s="1997"/>
      <c r="Y1289" s="1997"/>
      <c r="Z1289" s="1997"/>
      <c r="AA1289" s="1997"/>
      <c r="AB1289" s="1997"/>
      <c r="AC1289" s="1997"/>
      <c r="AD1289" s="1997"/>
      <c r="AE1289" s="1997"/>
      <c r="AF1289" s="1997"/>
    </row>
    <row r="1290" spans="1:32" ht="15">
      <c r="A1290" s="2466" t="s">
        <v>1838</v>
      </c>
      <c r="B1290" s="1996" t="s">
        <v>4892</v>
      </c>
      <c r="C1290" s="1997"/>
      <c r="D1290" s="1997"/>
      <c r="E1290" s="1997"/>
      <c r="F1290" s="1997"/>
      <c r="G1290" s="1997"/>
      <c r="H1290" s="2464"/>
      <c r="I1290" s="1996"/>
      <c r="J1290" s="1996"/>
      <c r="K1290" s="1996"/>
      <c r="L1290" s="1996"/>
      <c r="M1290" s="2011"/>
      <c r="N1290" s="2011"/>
      <c r="O1290" s="2011"/>
      <c r="P1290" s="2011"/>
      <c r="Q1290" s="2011"/>
      <c r="R1290" s="2812"/>
      <c r="S1290" s="1997"/>
      <c r="T1290" s="1997"/>
      <c r="U1290" s="1997"/>
      <c r="V1290" s="1997"/>
      <c r="W1290" s="1997"/>
      <c r="X1290" s="1997"/>
      <c r="Y1290" s="1997"/>
      <c r="Z1290" s="1997"/>
      <c r="AA1290" s="1997"/>
      <c r="AB1290" s="1997"/>
      <c r="AC1290" s="1997"/>
      <c r="AD1290" s="1997"/>
      <c r="AE1290" s="1997"/>
      <c r="AF1290" s="1997"/>
    </row>
    <row r="1291" spans="1:32" ht="15">
      <c r="A1291" s="2027"/>
      <c r="B1291" s="2854">
        <f>'Part VIII Scoring Criteria'!B134</f>
        <v>0</v>
      </c>
      <c r="C1291" s="2854"/>
      <c r="D1291" s="2854"/>
      <c r="E1291" s="2854"/>
      <c r="F1291" s="2854"/>
      <c r="G1291" s="2854"/>
      <c r="H1291" s="2854"/>
      <c r="I1291" s="2854"/>
      <c r="J1291" s="2854"/>
      <c r="K1291" s="2854"/>
      <c r="L1291" s="2854"/>
      <c r="M1291" s="2854"/>
      <c r="N1291" s="2854"/>
      <c r="O1291" s="2854"/>
      <c r="P1291" s="2854"/>
      <c r="Q1291" s="1996"/>
      <c r="R1291" s="1996"/>
      <c r="S1291" s="2027"/>
      <c r="T1291" s="2027"/>
      <c r="U1291" s="2027"/>
      <c r="V1291" s="2027"/>
      <c r="W1291" s="2027"/>
      <c r="X1291" s="2027"/>
      <c r="Y1291" s="2027"/>
      <c r="Z1291" s="2027"/>
      <c r="AA1291" s="2027"/>
      <c r="AB1291" s="2027"/>
      <c r="AC1291" s="2027"/>
      <c r="AD1291" s="2027"/>
      <c r="AE1291" s="2027"/>
      <c r="AF1291" s="2027"/>
    </row>
    <row r="1292" spans="1:32" ht="15">
      <c r="A1292" s="1997"/>
      <c r="B1292" s="2806" t="s">
        <v>5113</v>
      </c>
      <c r="C1292" s="1997"/>
      <c r="D1292" s="1997"/>
      <c r="E1292" s="1997"/>
      <c r="F1292" s="1997"/>
      <c r="G1292" s="1997"/>
      <c r="H1292" s="1997"/>
      <c r="I1292" s="1997"/>
      <c r="J1292" s="1997"/>
      <c r="K1292" s="1997"/>
      <c r="L1292" s="2027"/>
      <c r="M1292" s="2011"/>
      <c r="N1292" s="2016"/>
      <c r="O1292" s="2026"/>
      <c r="P1292" s="2029"/>
      <c r="Q1292" s="2027"/>
      <c r="R1292" s="2027"/>
      <c r="S1292" s="2027"/>
      <c r="T1292" s="2027"/>
      <c r="U1292" s="2027"/>
      <c r="V1292" s="2027"/>
      <c r="W1292" s="2027"/>
      <c r="X1292" s="2027"/>
      <c r="Y1292" s="2027"/>
      <c r="Z1292" s="2027"/>
      <c r="AA1292" s="2027"/>
      <c r="AB1292" s="2027"/>
      <c r="AC1292" s="2027"/>
      <c r="AD1292" s="2027"/>
      <c r="AE1292" s="2027"/>
      <c r="AF1292" s="2027"/>
    </row>
    <row r="1293" spans="1:32" ht="15">
      <c r="A1293" s="2821">
        <f>'Part VIII Scoring Criteria'!A136</f>
        <v>0</v>
      </c>
      <c r="B1293" s="2821"/>
      <c r="C1293" s="2821"/>
      <c r="D1293" s="2821"/>
      <c r="E1293" s="2821"/>
      <c r="F1293" s="2821"/>
      <c r="G1293" s="2821"/>
      <c r="H1293" s="2821"/>
      <c r="I1293" s="2821"/>
      <c r="J1293" s="2821"/>
      <c r="K1293" s="2821"/>
      <c r="L1293" s="2821"/>
      <c r="M1293" s="2821"/>
      <c r="N1293" s="2821"/>
      <c r="O1293" s="2821"/>
      <c r="P1293" s="2821"/>
      <c r="Q1293" s="1996"/>
      <c r="R1293" s="1996"/>
      <c r="S1293" s="2027"/>
      <c r="T1293" s="2027"/>
      <c r="U1293" s="2027"/>
      <c r="V1293" s="2027"/>
      <c r="W1293" s="2027"/>
      <c r="X1293" s="2027"/>
      <c r="Y1293" s="2027"/>
      <c r="Z1293" s="2027"/>
      <c r="AA1293" s="2027"/>
      <c r="AB1293" s="2027"/>
      <c r="AC1293" s="2027"/>
      <c r="AD1293" s="2027"/>
      <c r="AE1293" s="2027"/>
      <c r="AF1293" s="2027"/>
    </row>
    <row r="1294" spans="1:32" ht="15">
      <c r="A1294" s="2806"/>
      <c r="B1294" s="2806" t="s">
        <v>1725</v>
      </c>
      <c r="C1294" s="1997"/>
      <c r="D1294" s="2806"/>
      <c r="E1294" s="2030"/>
      <c r="F1294" s="2030"/>
      <c r="G1294" s="2030"/>
      <c r="H1294" s="2030"/>
      <c r="I1294" s="2030"/>
      <c r="J1294" s="2030"/>
      <c r="K1294" s="2030"/>
      <c r="L1294" s="2030"/>
      <c r="M1294" s="2030"/>
      <c r="N1294" s="2011"/>
      <c r="O1294" s="2466"/>
      <c r="P1294" s="2466"/>
      <c r="Q1294" s="1997"/>
      <c r="R1294" s="1997"/>
      <c r="S1294" s="1997"/>
      <c r="T1294" s="1997"/>
      <c r="U1294" s="1997"/>
      <c r="V1294" s="1997"/>
      <c r="W1294" s="1997"/>
      <c r="X1294" s="1997"/>
      <c r="Y1294" s="1997"/>
      <c r="Z1294" s="1997"/>
      <c r="AA1294" s="1997"/>
      <c r="AB1294" s="1997"/>
      <c r="AC1294" s="1997"/>
      <c r="AD1294" s="1997"/>
      <c r="AE1294" s="1997"/>
      <c r="AF1294" s="1997"/>
    </row>
    <row r="1295" spans="1:32" ht="15">
      <c r="A1295" s="2033"/>
      <c r="B1295" s="2033"/>
      <c r="C1295" s="2033"/>
      <c r="D1295" s="2033"/>
      <c r="E1295" s="2033"/>
      <c r="F1295" s="2033"/>
      <c r="G1295" s="2033"/>
      <c r="H1295" s="2033"/>
      <c r="I1295" s="2033"/>
      <c r="J1295" s="2033"/>
      <c r="K1295" s="2033"/>
      <c r="L1295" s="2033"/>
      <c r="M1295" s="2033"/>
      <c r="N1295" s="2033"/>
      <c r="O1295" s="2033"/>
      <c r="P1295" s="2033"/>
      <c r="Q1295" s="1996"/>
      <c r="R1295" s="1996"/>
      <c r="S1295" s="2027"/>
      <c r="T1295" s="2027"/>
      <c r="U1295" s="2027"/>
      <c r="V1295" s="2027"/>
      <c r="W1295" s="2027"/>
      <c r="X1295" s="2027"/>
      <c r="Y1295" s="2027"/>
      <c r="Z1295" s="2027"/>
      <c r="AA1295" s="2027"/>
      <c r="AB1295" s="2027"/>
      <c r="AC1295" s="2027"/>
      <c r="AD1295" s="2027"/>
      <c r="AE1295" s="2027"/>
      <c r="AF1295" s="2027"/>
    </row>
    <row r="1296" spans="1:32" ht="15">
      <c r="A1296" s="2846"/>
      <c r="B1296" s="1997"/>
      <c r="C1296" s="2034"/>
      <c r="D1296" s="2034"/>
      <c r="E1296" s="2034"/>
      <c r="F1296" s="2034"/>
      <c r="G1296" s="2034"/>
      <c r="H1296" s="2034"/>
      <c r="I1296" s="2034"/>
      <c r="J1296" s="2034"/>
      <c r="K1296" s="2034"/>
      <c r="L1296" s="2034"/>
      <c r="M1296" s="2034"/>
      <c r="N1296" s="2032"/>
      <c r="O1296" s="2817"/>
      <c r="P1296" s="2466"/>
      <c r="Q1296" s="2027"/>
      <c r="R1296" s="2027"/>
      <c r="S1296" s="2027"/>
      <c r="T1296" s="2027"/>
      <c r="U1296" s="2027"/>
      <c r="V1296" s="2027"/>
      <c r="W1296" s="2027"/>
      <c r="X1296" s="2027"/>
      <c r="Y1296" s="2027"/>
      <c r="Z1296" s="2027"/>
      <c r="AA1296" s="2027"/>
      <c r="AB1296" s="2027"/>
      <c r="AC1296" s="2027"/>
      <c r="AD1296" s="2027"/>
      <c r="AE1296" s="2027"/>
      <c r="AF1296" s="2027"/>
    </row>
    <row r="1297" spans="1:32" ht="15">
      <c r="A1297" s="2027"/>
      <c r="B1297" s="2027"/>
      <c r="C1297" s="2027"/>
      <c r="D1297" s="1997"/>
      <c r="E1297" s="1997"/>
      <c r="F1297" s="2466"/>
      <c r="G1297" s="2466"/>
      <c r="H1297" s="2466"/>
      <c r="I1297" s="2466"/>
      <c r="J1297" s="2030"/>
      <c r="K1297" s="2030"/>
      <c r="L1297" s="2030"/>
      <c r="M1297" s="2011"/>
      <c r="N1297" s="2466"/>
      <c r="O1297" s="2029"/>
      <c r="P1297" s="2026"/>
      <c r="Q1297" s="2027"/>
      <c r="R1297" s="2027"/>
      <c r="S1297" s="2027"/>
      <c r="T1297" s="2027"/>
      <c r="U1297" s="2027"/>
      <c r="V1297" s="2027"/>
      <c r="W1297" s="2027"/>
      <c r="X1297" s="2027"/>
      <c r="Y1297" s="2027"/>
      <c r="Z1297" s="2027"/>
      <c r="AA1297" s="2027"/>
      <c r="AB1297" s="2027"/>
      <c r="AC1297" s="2027"/>
      <c r="AD1297" s="2027"/>
      <c r="AE1297" s="2027"/>
      <c r="AF1297" s="2027"/>
    </row>
    <row r="1298" spans="1:32" ht="15">
      <c r="A1298" s="2461" t="s">
        <v>400</v>
      </c>
      <c r="B1298" s="2462" t="s">
        <v>3064</v>
      </c>
      <c r="C1298" s="1997"/>
      <c r="D1298" s="1997"/>
      <c r="E1298" s="1997"/>
      <c r="F1298" s="1997"/>
      <c r="G1298" s="1996"/>
      <c r="H1298" s="1997"/>
      <c r="I1298" s="1996"/>
      <c r="J1298" s="2466"/>
      <c r="K1298" s="2855" t="s">
        <v>4943</v>
      </c>
      <c r="L1298" s="2808" t="s">
        <v>4896</v>
      </c>
      <c r="M1298" s="2466">
        <v>3</v>
      </c>
      <c r="N1298" s="2011"/>
      <c r="O1298" s="2026">
        <f>'Part VIII Scoring Criteria'!O141</f>
        <v>2</v>
      </c>
      <c r="P1298" s="2026">
        <f>'Part VIII Scoring Criteria'!P141</f>
        <v>0</v>
      </c>
      <c r="Q1298" s="2466" t="s">
        <v>415</v>
      </c>
      <c r="R1298" s="2466">
        <f>$O$12</f>
        <v>0</v>
      </c>
      <c r="S1298" s="2035"/>
      <c r="T1298" s="1997"/>
      <c r="U1298" s="1997"/>
      <c r="V1298" s="1997"/>
      <c r="W1298" s="1997"/>
      <c r="X1298" s="1997"/>
      <c r="Y1298" s="1997"/>
      <c r="Z1298" s="1997"/>
      <c r="AA1298" s="1997"/>
      <c r="AB1298" s="1997"/>
      <c r="AC1298" s="1997"/>
      <c r="AD1298" s="1997"/>
      <c r="AE1298" s="1997"/>
      <c r="AF1298" s="1997"/>
    </row>
    <row r="1299" spans="1:32" ht="15">
      <c r="A1299" s="2856"/>
      <c r="B1299" s="2857"/>
      <c r="C1299" s="2027"/>
      <c r="D1299" s="2027"/>
      <c r="E1299" s="1997"/>
      <c r="F1299" s="2027" t="s">
        <v>3695</v>
      </c>
      <c r="G1299" s="2035"/>
      <c r="H1299" s="1997"/>
      <c r="I1299" s="2462"/>
      <c r="J1299" s="2027"/>
      <c r="K1299" s="2808"/>
      <c r="L1299" s="2858"/>
      <c r="M1299" s="2466"/>
      <c r="N1299" s="2011"/>
      <c r="O1299" s="2026"/>
      <c r="P1299" s="2026"/>
      <c r="Q1299" s="2466"/>
      <c r="R1299" s="2810"/>
      <c r="S1299" s="2027"/>
      <c r="T1299" s="2027"/>
      <c r="U1299" s="2027"/>
      <c r="V1299" s="2027"/>
      <c r="W1299" s="2027"/>
      <c r="X1299" s="2027"/>
      <c r="Y1299" s="2027"/>
      <c r="Z1299" s="2027"/>
      <c r="AA1299" s="2027"/>
      <c r="AB1299" s="2027"/>
      <c r="AC1299" s="2027"/>
      <c r="AD1299" s="2027"/>
      <c r="AE1299" s="2027"/>
      <c r="AF1299" s="2027"/>
    </row>
    <row r="1300" spans="1:32" ht="15">
      <c r="A1300" s="2466" t="s">
        <v>1836</v>
      </c>
      <c r="B1300" s="2812" t="s">
        <v>4711</v>
      </c>
      <c r="C1300" s="1997"/>
      <c r="D1300" s="1997"/>
      <c r="E1300" s="1997"/>
      <c r="F1300" s="1997"/>
      <c r="G1300" s="2859"/>
      <c r="H1300" s="2027" t="s">
        <v>4542</v>
      </c>
      <c r="I1300" s="1997"/>
      <c r="J1300" s="2860" t="str">
        <f>'Part V-Revenues &amp; Expenses'!$O$53</f>
        <v>40% of Units at 60% of AMI</v>
      </c>
      <c r="K1300" s="1997"/>
      <c r="L1300" s="1997"/>
      <c r="M1300" s="2466">
        <v>2</v>
      </c>
      <c r="N1300" s="2843"/>
      <c r="O1300" s="2026">
        <f>'Part VIII Scoring Criteria'!O143</f>
        <v>2</v>
      </c>
      <c r="P1300" s="2026">
        <f>'Part VIII Scoring Criteria'!P143</f>
        <v>0</v>
      </c>
      <c r="Q1300" s="1997"/>
      <c r="R1300" s="1997"/>
      <c r="S1300" s="1997"/>
      <c r="T1300" s="1997"/>
      <c r="U1300" s="1997"/>
      <c r="V1300" s="1997"/>
      <c r="W1300" s="1997"/>
      <c r="X1300" s="1997"/>
      <c r="Y1300" s="1997"/>
      <c r="Z1300" s="1997"/>
      <c r="AA1300" s="1997"/>
      <c r="AB1300" s="1997"/>
      <c r="AC1300" s="1997"/>
      <c r="AD1300" s="1997"/>
      <c r="AE1300" s="1997"/>
      <c r="AF1300" s="1997"/>
    </row>
    <row r="1301" spans="1:32" ht="15">
      <c r="A1301" s="2466"/>
      <c r="B1301" s="2813" t="s">
        <v>1839</v>
      </c>
      <c r="C1301" s="2861" t="s">
        <v>3690</v>
      </c>
      <c r="D1301" s="1997"/>
      <c r="E1301" s="1997"/>
      <c r="F1301" s="1997"/>
      <c r="G1301" s="1997"/>
      <c r="H1301" s="1997" t="s">
        <v>3691</v>
      </c>
      <c r="I1301" s="1997"/>
      <c r="J1301" s="1997"/>
      <c r="K1301" s="2862">
        <f>'Part V-Revenues &amp; Expenses'!$B$50</f>
        <v>57.833333333333336</v>
      </c>
      <c r="L1301" s="2810" t="str">
        <f t="shared" ref="L1301:L1302" si="422">IF(OR($O1301=$M1301,$O1301=0,$O1301=""),"","* * Check Score! * *")</f>
        <v/>
      </c>
      <c r="M1301" s="2011">
        <v>2</v>
      </c>
      <c r="N1301" s="2814"/>
      <c r="O1301" s="2026">
        <f>'Part VIII Scoring Criteria'!O144</f>
        <v>0</v>
      </c>
      <c r="P1301" s="2026"/>
      <c r="Q1301" s="2809" t="str">
        <f>IF(OR($O1301=$M1301,$O1301=0,$O1301=""),"","*CHECK!*")</f>
        <v/>
      </c>
      <c r="R1301" s="2812"/>
      <c r="S1301" s="1997"/>
      <c r="T1301" s="1997"/>
      <c r="U1301" s="1997"/>
      <c r="V1301" s="1997"/>
      <c r="W1301" s="1997"/>
      <c r="X1301" s="1997"/>
      <c r="Y1301" s="1997"/>
      <c r="Z1301" s="1997"/>
      <c r="AA1301" s="1997"/>
      <c r="AB1301" s="1997"/>
      <c r="AC1301" s="1997"/>
      <c r="AD1301" s="1997"/>
      <c r="AE1301" s="1997"/>
      <c r="AF1301" s="1997"/>
    </row>
    <row r="1302" spans="1:32" ht="15">
      <c r="A1302" s="2466"/>
      <c r="B1302" s="2815" t="s">
        <v>1841</v>
      </c>
      <c r="C1302" s="2861" t="s">
        <v>3692</v>
      </c>
      <c r="D1302" s="1997"/>
      <c r="E1302" s="1997"/>
      <c r="F1302" s="1997"/>
      <c r="G1302" s="1997"/>
      <c r="H1302" s="1997"/>
      <c r="I1302" s="1997"/>
      <c r="J1302" s="1997"/>
      <c r="K1302" s="2027"/>
      <c r="L1302" s="2810" t="str">
        <f t="shared" si="422"/>
        <v/>
      </c>
      <c r="M1302" s="2011">
        <v>2</v>
      </c>
      <c r="N1302" s="2814"/>
      <c r="O1302" s="2026">
        <f>'Part VIII Scoring Criteria'!O145</f>
        <v>2</v>
      </c>
      <c r="P1302" s="2026"/>
      <c r="Q1302" s="2809" t="str">
        <f>IF(OR($O1302=$M1302,$O1302=0,$O1302=""),"","*CHECK!*")</f>
        <v/>
      </c>
      <c r="R1302" s="2812"/>
      <c r="S1302" s="1997"/>
      <c r="T1302" s="1997"/>
      <c r="U1302" s="1997"/>
      <c r="V1302" s="1997"/>
      <c r="W1302" s="1997"/>
      <c r="X1302" s="1997"/>
      <c r="Y1302" s="1997"/>
      <c r="Z1302" s="1997"/>
      <c r="AA1302" s="1997"/>
      <c r="AB1302" s="1997"/>
      <c r="AC1302" s="1997"/>
      <c r="AD1302" s="1997"/>
      <c r="AE1302" s="1997"/>
      <c r="AF1302" s="1997"/>
    </row>
    <row r="1303" spans="1:32" ht="15">
      <c r="A1303" s="2466"/>
      <c r="B1303" s="2863"/>
      <c r="C1303" s="2864"/>
      <c r="D1303" s="2033"/>
      <c r="E1303" s="2027"/>
      <c r="F1303" s="2027"/>
      <c r="G1303" s="2027"/>
      <c r="H1303" s="2027"/>
      <c r="I1303" s="2027"/>
      <c r="J1303" s="2027"/>
      <c r="K1303" s="2865"/>
      <c r="L1303" s="2865"/>
      <c r="M1303" s="2011"/>
      <c r="N1303" s="2843"/>
      <c r="O1303" s="2804"/>
      <c r="P1303" s="2804"/>
      <c r="Q1303" s="2027"/>
      <c r="R1303" s="2027"/>
      <c r="S1303" s="2027"/>
      <c r="T1303" s="2027"/>
      <c r="U1303" s="2027"/>
      <c r="V1303" s="2027"/>
      <c r="W1303" s="2027"/>
      <c r="X1303" s="2027"/>
      <c r="Y1303" s="2027"/>
      <c r="Z1303" s="2027"/>
      <c r="AA1303" s="2027"/>
      <c r="AB1303" s="2027"/>
      <c r="AC1303" s="2027"/>
      <c r="AD1303" s="2027"/>
      <c r="AE1303" s="2027"/>
      <c r="AF1303" s="2027"/>
    </row>
    <row r="1304" spans="1:32" ht="15">
      <c r="A1304" s="2466" t="s">
        <v>1838</v>
      </c>
      <c r="B1304" s="2812" t="s">
        <v>4714</v>
      </c>
      <c r="C1304" s="2027"/>
      <c r="D1304" s="2027"/>
      <c r="E1304" s="2027"/>
      <c r="F1304" s="2027"/>
      <c r="G1304" s="2027"/>
      <c r="H1304" s="2028" t="s">
        <v>4695</v>
      </c>
      <c r="I1304" s="1997"/>
      <c r="J1304" s="2027"/>
      <c r="K1304" s="2865">
        <f>'Part VIII Scoring Criteria'!K147</f>
        <v>0</v>
      </c>
      <c r="L1304" s="2027"/>
      <c r="M1304" s="2466">
        <v>3</v>
      </c>
      <c r="N1304" s="2818"/>
      <c r="O1304" s="2026">
        <f>'Part VIII Scoring Criteria'!O147</f>
        <v>0</v>
      </c>
      <c r="P1304" s="2026"/>
      <c r="Q1304" s="2027"/>
      <c r="R1304" s="2027"/>
      <c r="S1304" s="2027"/>
      <c r="T1304" s="2027"/>
      <c r="U1304" s="2027"/>
      <c r="V1304" s="2027"/>
      <c r="W1304" s="2027"/>
      <c r="X1304" s="2027"/>
      <c r="Y1304" s="2027"/>
      <c r="Z1304" s="2027"/>
      <c r="AA1304" s="2027"/>
      <c r="AB1304" s="2027"/>
      <c r="AC1304" s="2027"/>
      <c r="AD1304" s="2027"/>
      <c r="AE1304" s="2027"/>
      <c r="AF1304" s="2027"/>
    </row>
    <row r="1305" spans="1:32" ht="15">
      <c r="A1305" s="1997"/>
      <c r="B1305" s="2806" t="s">
        <v>1725</v>
      </c>
      <c r="C1305" s="2027"/>
      <c r="D1305" s="2821"/>
      <c r="E1305" s="2034"/>
      <c r="F1305" s="2034"/>
      <c r="G1305" s="2034"/>
      <c r="H1305" s="2034"/>
      <c r="I1305" s="2034"/>
      <c r="J1305" s="2034"/>
      <c r="K1305" s="2034"/>
      <c r="L1305" s="2034"/>
      <c r="M1305" s="2034"/>
      <c r="N1305" s="2032"/>
      <c r="O1305" s="2817"/>
      <c r="P1305" s="2466"/>
      <c r="Q1305" s="2027"/>
      <c r="R1305" s="2027"/>
      <c r="S1305" s="2027"/>
      <c r="T1305" s="2027"/>
      <c r="U1305" s="2027"/>
      <c r="V1305" s="2027"/>
      <c r="W1305" s="2027"/>
      <c r="X1305" s="2027"/>
      <c r="Y1305" s="2027"/>
      <c r="Z1305" s="2027"/>
      <c r="AA1305" s="2027"/>
      <c r="AB1305" s="2027"/>
      <c r="AC1305" s="2027"/>
      <c r="AD1305" s="2027"/>
      <c r="AE1305" s="2027"/>
      <c r="AF1305" s="2027"/>
    </row>
    <row r="1306" spans="1:32" ht="15">
      <c r="A1306" s="2033"/>
      <c r="B1306" s="2033"/>
      <c r="C1306" s="2033"/>
      <c r="D1306" s="2033"/>
      <c r="E1306" s="2033"/>
      <c r="F1306" s="2033"/>
      <c r="G1306" s="2033"/>
      <c r="H1306" s="2033"/>
      <c r="I1306" s="2033"/>
      <c r="J1306" s="2033"/>
      <c r="K1306" s="2033"/>
      <c r="L1306" s="2033"/>
      <c r="M1306" s="2033"/>
      <c r="N1306" s="2033"/>
      <c r="O1306" s="2033"/>
      <c r="P1306" s="2033"/>
      <c r="Q1306" s="1996"/>
      <c r="R1306" s="2027"/>
      <c r="S1306" s="2027"/>
      <c r="T1306" s="2027"/>
      <c r="U1306" s="2027"/>
      <c r="V1306" s="2027"/>
      <c r="W1306" s="2027"/>
      <c r="X1306" s="2027"/>
      <c r="Y1306" s="2027"/>
      <c r="Z1306" s="2027"/>
      <c r="AA1306" s="2027"/>
      <c r="AB1306" s="2027"/>
      <c r="AC1306" s="2027"/>
      <c r="AD1306" s="2027"/>
      <c r="AE1306" s="2027"/>
      <c r="AF1306" s="2027"/>
    </row>
    <row r="1307" spans="1:32" ht="15">
      <c r="A1307" s="1997"/>
      <c r="B1307" s="2469"/>
      <c r="C1307" s="1997"/>
      <c r="D1307" s="1996"/>
      <c r="E1307" s="1997"/>
      <c r="F1307" s="1997"/>
      <c r="G1307" s="2470"/>
      <c r="H1307" s="2470"/>
      <c r="I1307" s="2470"/>
      <c r="J1307" s="2470"/>
      <c r="K1307" s="2470"/>
      <c r="L1307" s="2470"/>
      <c r="M1307" s="2011"/>
      <c r="N1307" s="2016"/>
      <c r="O1307" s="2026"/>
      <c r="P1307" s="2466"/>
      <c r="Q1307" s="2027"/>
      <c r="R1307" s="1997"/>
      <c r="S1307" s="1997"/>
      <c r="T1307" s="1997"/>
      <c r="U1307" s="1997"/>
      <c r="V1307" s="1997"/>
      <c r="W1307" s="1997"/>
      <c r="X1307" s="2471"/>
      <c r="Y1307" s="2471"/>
      <c r="Z1307" s="2471"/>
      <c r="AA1307" s="2471"/>
      <c r="AB1307" s="2471"/>
      <c r="AC1307" s="2471"/>
      <c r="AD1307" s="2471"/>
      <c r="AE1307" s="2471"/>
      <c r="AF1307" s="2471"/>
    </row>
    <row r="1308" spans="1:32" ht="15">
      <c r="A1308" s="2027"/>
      <c r="B1308" s="2027"/>
      <c r="C1308" s="2027"/>
      <c r="D1308" s="2027"/>
      <c r="E1308" s="2027"/>
      <c r="F1308" s="2027"/>
      <c r="G1308" s="2027"/>
      <c r="H1308" s="2027"/>
      <c r="I1308" s="2027"/>
      <c r="J1308" s="2027"/>
      <c r="K1308" s="2027"/>
      <c r="L1308" s="2027"/>
      <c r="M1308" s="2027"/>
      <c r="N1308" s="2016"/>
      <c r="O1308" s="2029"/>
      <c r="P1308" s="2029"/>
      <c r="Q1308" s="2027"/>
      <c r="R1308" s="2027"/>
      <c r="S1308" s="2027"/>
      <c r="T1308" s="2462"/>
      <c r="U1308" s="2462"/>
      <c r="V1308" s="2027"/>
      <c r="W1308" s="2027"/>
      <c r="X1308" s="2027"/>
      <c r="Y1308" s="2027"/>
      <c r="Z1308" s="2027"/>
      <c r="AA1308" s="2027"/>
      <c r="AB1308" s="2027"/>
      <c r="AC1308" s="2027"/>
      <c r="AD1308" s="2027"/>
      <c r="AE1308" s="2027"/>
      <c r="AF1308" s="2027"/>
    </row>
    <row r="1309" spans="1:32" ht="15">
      <c r="A1309" s="2846" t="s">
        <v>342</v>
      </c>
      <c r="B1309" s="2462" t="s">
        <v>4849</v>
      </c>
      <c r="C1309" s="1997"/>
      <c r="D1309" s="2462"/>
      <c r="E1309" s="2462"/>
      <c r="F1309" s="1997"/>
      <c r="G1309" s="1997"/>
      <c r="H1309" s="1997"/>
      <c r="I1309" s="1997"/>
      <c r="J1309" s="1997"/>
      <c r="K1309" s="1997"/>
      <c r="L1309" s="2866"/>
      <c r="M1309" s="2466">
        <v>2</v>
      </c>
      <c r="N1309" s="2011"/>
      <c r="O1309" s="2026">
        <f>'Part VIII Scoring Criteria'!O152</f>
        <v>2</v>
      </c>
      <c r="P1309" s="2026">
        <f>'Part VIII Scoring Criteria'!P152</f>
        <v>0</v>
      </c>
      <c r="Q1309" s="2466" t="s">
        <v>415</v>
      </c>
      <c r="R1309" s="2466"/>
      <c r="S1309" s="1997"/>
      <c r="T1309" s="1997"/>
      <c r="U1309" s="1997"/>
      <c r="V1309" s="1997"/>
      <c r="W1309" s="1997"/>
      <c r="X1309" s="1997"/>
      <c r="Y1309" s="1997"/>
      <c r="Z1309" s="1997"/>
      <c r="AA1309" s="1997"/>
      <c r="AB1309" s="1997"/>
      <c r="AC1309" s="1997"/>
      <c r="AD1309" s="1997"/>
      <c r="AE1309" s="1997"/>
      <c r="AF1309" s="1997"/>
    </row>
    <row r="1310" spans="1:32" ht="15">
      <c r="A1310" s="2027"/>
      <c r="B1310" s="2867" t="s">
        <v>4976</v>
      </c>
      <c r="C1310" s="1997"/>
      <c r="D1310" s="1997"/>
      <c r="E1310" s="1997"/>
      <c r="F1310" s="1997"/>
      <c r="G1310" s="1997"/>
      <c r="H1310" s="1997"/>
      <c r="I1310" s="1997"/>
      <c r="J1310" s="1997"/>
      <c r="K1310" s="1997"/>
      <c r="L1310" s="2027"/>
      <c r="M1310" s="2011"/>
      <c r="N1310" s="2016"/>
      <c r="O1310" s="2466" t="str">
        <f>'Part VIII Scoring Criteria'!O153</f>
        <v>Yes</v>
      </c>
      <c r="P1310" s="2466"/>
      <c r="Q1310" s="2027"/>
      <c r="R1310" s="2027"/>
      <c r="S1310" s="2027"/>
      <c r="T1310" s="2027"/>
      <c r="U1310" s="2027"/>
      <c r="V1310" s="2027"/>
      <c r="W1310" s="2027"/>
      <c r="X1310" s="2027"/>
      <c r="Y1310" s="2027"/>
      <c r="Z1310" s="2027"/>
      <c r="AA1310" s="2027"/>
      <c r="AB1310" s="2027"/>
      <c r="AC1310" s="2027"/>
      <c r="AD1310" s="2027"/>
      <c r="AE1310" s="2027"/>
      <c r="AF1310" s="2027"/>
    </row>
    <row r="1311" spans="1:32" ht="15">
      <c r="A1311" s="1997"/>
      <c r="B1311" s="2806" t="s">
        <v>5113</v>
      </c>
      <c r="C1311" s="1997"/>
      <c r="D1311" s="1997"/>
      <c r="E1311" s="1997"/>
      <c r="F1311" s="1997"/>
      <c r="G1311" s="1997"/>
      <c r="H1311" s="1997"/>
      <c r="I1311" s="1997"/>
      <c r="J1311" s="1997"/>
      <c r="K1311" s="1997"/>
      <c r="L1311" s="2027"/>
      <c r="M1311" s="2011"/>
      <c r="N1311" s="2016"/>
      <c r="O1311" s="2026"/>
      <c r="P1311" s="2029"/>
      <c r="Q1311" s="2027"/>
      <c r="R1311" s="2027"/>
      <c r="S1311" s="2027"/>
      <c r="T1311" s="2027"/>
      <c r="U1311" s="2027"/>
      <c r="V1311" s="2027"/>
      <c r="W1311" s="2027"/>
      <c r="X1311" s="2027"/>
      <c r="Y1311" s="2027"/>
      <c r="Z1311" s="2027"/>
      <c r="AA1311" s="2027"/>
      <c r="AB1311" s="2027"/>
      <c r="AC1311" s="2027"/>
      <c r="AD1311" s="2027"/>
      <c r="AE1311" s="2027"/>
      <c r="AF1311" s="2027"/>
    </row>
    <row r="1312" spans="1:32" ht="15">
      <c r="A1312" s="2821">
        <f>'Part VIII Scoring Criteria'!A155</f>
        <v>0</v>
      </c>
      <c r="B1312" s="2821"/>
      <c r="C1312" s="2821"/>
      <c r="D1312" s="2821"/>
      <c r="E1312" s="2821"/>
      <c r="F1312" s="2821"/>
      <c r="G1312" s="2821"/>
      <c r="H1312" s="2821"/>
      <c r="I1312" s="2821"/>
      <c r="J1312" s="2821"/>
      <c r="K1312" s="2821"/>
      <c r="L1312" s="2821"/>
      <c r="M1312" s="2821"/>
      <c r="N1312" s="2821"/>
      <c r="O1312" s="2821"/>
      <c r="P1312" s="2821"/>
      <c r="Q1312" s="1996"/>
      <c r="R1312" s="1996"/>
      <c r="S1312" s="2027"/>
      <c r="T1312" s="2027"/>
      <c r="U1312" s="2027"/>
      <c r="V1312" s="2027"/>
      <c r="W1312" s="2027"/>
      <c r="X1312" s="2027"/>
      <c r="Y1312" s="2027"/>
      <c r="Z1312" s="2027"/>
      <c r="AA1312" s="2027"/>
      <c r="AB1312" s="2027"/>
      <c r="AC1312" s="2027"/>
      <c r="AD1312" s="2027"/>
      <c r="AE1312" s="2027"/>
      <c r="AF1312" s="2027"/>
    </row>
    <row r="1313" spans="1:32" ht="15">
      <c r="A1313" s="2806"/>
      <c r="B1313" s="2806" t="s">
        <v>1725</v>
      </c>
      <c r="C1313" s="1997"/>
      <c r="D1313" s="2806"/>
      <c r="E1313" s="2030"/>
      <c r="F1313" s="2030"/>
      <c r="G1313" s="2030"/>
      <c r="H1313" s="2030"/>
      <c r="I1313" s="2030"/>
      <c r="J1313" s="2030"/>
      <c r="K1313" s="2030"/>
      <c r="L1313" s="2030"/>
      <c r="M1313" s="2030"/>
      <c r="N1313" s="2011"/>
      <c r="O1313" s="2466"/>
      <c r="P1313" s="2466"/>
      <c r="Q1313" s="1997"/>
      <c r="R1313" s="1997"/>
      <c r="S1313" s="1997"/>
      <c r="T1313" s="1997"/>
      <c r="U1313" s="1997"/>
      <c r="V1313" s="1997"/>
      <c r="W1313" s="1997"/>
      <c r="X1313" s="1997"/>
      <c r="Y1313" s="1997"/>
      <c r="Z1313" s="1997"/>
      <c r="AA1313" s="1997"/>
      <c r="AB1313" s="1997"/>
      <c r="AC1313" s="1997"/>
      <c r="AD1313" s="1997"/>
      <c r="AE1313" s="1997"/>
      <c r="AF1313" s="1997"/>
    </row>
    <row r="1314" spans="1:32" ht="15">
      <c r="A1314" s="2033"/>
      <c r="B1314" s="2033"/>
      <c r="C1314" s="2033"/>
      <c r="D1314" s="2033"/>
      <c r="E1314" s="2033"/>
      <c r="F1314" s="2033"/>
      <c r="G1314" s="2033"/>
      <c r="H1314" s="2033"/>
      <c r="I1314" s="2033"/>
      <c r="J1314" s="2033"/>
      <c r="K1314" s="2033"/>
      <c r="L1314" s="2033"/>
      <c r="M1314" s="2033"/>
      <c r="N1314" s="2033"/>
      <c r="O1314" s="2033"/>
      <c r="P1314" s="2033"/>
      <c r="Q1314" s="1996"/>
      <c r="R1314" s="1996"/>
      <c r="S1314" s="2027"/>
      <c r="T1314" s="2027"/>
      <c r="U1314" s="2027"/>
      <c r="V1314" s="2027"/>
      <c r="W1314" s="2027"/>
      <c r="X1314" s="2027"/>
      <c r="Y1314" s="2027"/>
      <c r="Z1314" s="2027"/>
      <c r="AA1314" s="2027"/>
      <c r="AB1314" s="2027"/>
      <c r="AC1314" s="2027"/>
      <c r="AD1314" s="2027"/>
      <c r="AE1314" s="2027"/>
      <c r="AF1314" s="2027"/>
    </row>
    <row r="1315" spans="1:32" ht="15">
      <c r="A1315" s="2846"/>
      <c r="B1315" s="1997"/>
      <c r="C1315" s="2034"/>
      <c r="D1315" s="2034"/>
      <c r="E1315" s="2034"/>
      <c r="F1315" s="2034"/>
      <c r="G1315" s="2034"/>
      <c r="H1315" s="2034"/>
      <c r="I1315" s="2034"/>
      <c r="J1315" s="2034"/>
      <c r="K1315" s="2034"/>
      <c r="L1315" s="2034"/>
      <c r="M1315" s="2034"/>
      <c r="N1315" s="2032"/>
      <c r="O1315" s="2817"/>
      <c r="P1315" s="2466"/>
      <c r="Q1315" s="2027"/>
      <c r="R1315" s="2027"/>
      <c r="S1315" s="2027"/>
      <c r="T1315" s="2027"/>
      <c r="U1315" s="2027"/>
      <c r="V1315" s="2027"/>
      <c r="W1315" s="2027"/>
      <c r="X1315" s="2027"/>
      <c r="Y1315" s="2027"/>
      <c r="Z1315" s="2027"/>
      <c r="AA1315" s="2027"/>
      <c r="AB1315" s="2027"/>
      <c r="AC1315" s="2027"/>
      <c r="AD1315" s="2027"/>
      <c r="AE1315" s="2027"/>
      <c r="AF1315" s="2027"/>
    </row>
    <row r="1316" spans="1:32" ht="15">
      <c r="A1316" s="2027"/>
      <c r="B1316" s="2027"/>
      <c r="C1316" s="2027"/>
      <c r="D1316" s="2027"/>
      <c r="E1316" s="2027"/>
      <c r="F1316" s="2027"/>
      <c r="G1316" s="2027"/>
      <c r="H1316" s="2027"/>
      <c r="I1316" s="2027"/>
      <c r="J1316" s="2027"/>
      <c r="K1316" s="2027"/>
      <c r="L1316" s="2027"/>
      <c r="M1316" s="2027"/>
      <c r="N1316" s="2016"/>
      <c r="O1316" s="2029"/>
      <c r="P1316" s="2029"/>
      <c r="Q1316" s="2027"/>
      <c r="R1316" s="2027"/>
      <c r="S1316" s="2027"/>
      <c r="T1316" s="2027"/>
      <c r="U1316" s="2027"/>
      <c r="V1316" s="2027"/>
      <c r="W1316" s="2027"/>
      <c r="X1316" s="2027"/>
      <c r="Y1316" s="2027"/>
      <c r="Z1316" s="2027"/>
      <c r="AA1316" s="2027"/>
      <c r="AB1316" s="2027"/>
      <c r="AC1316" s="2027"/>
      <c r="AD1316" s="2027"/>
      <c r="AE1316" s="2027"/>
      <c r="AF1316" s="2027"/>
    </row>
    <row r="1317" spans="1:32" ht="15">
      <c r="A1317" s="2461" t="s">
        <v>343</v>
      </c>
      <c r="B1317" s="2462" t="s">
        <v>3281</v>
      </c>
      <c r="C1317" s="2027"/>
      <c r="D1317" s="2027"/>
      <c r="E1317" s="2027"/>
      <c r="F1317" s="2027"/>
      <c r="G1317" s="2027"/>
      <c r="H1317" s="2027"/>
      <c r="I1317" s="2027"/>
      <c r="J1317" s="2027"/>
      <c r="K1317" s="2027"/>
      <c r="L1317" s="2808" t="s">
        <v>4896</v>
      </c>
      <c r="M1317" s="2466">
        <v>20</v>
      </c>
      <c r="N1317" s="2464"/>
      <c r="O1317" s="2805">
        <f>'Part VIII Scoring Criteria'!O160</f>
        <v>20</v>
      </c>
      <c r="P1317" s="2805">
        <f>'Part VIII Scoring Criteria'!P160</f>
        <v>0</v>
      </c>
      <c r="Q1317" s="2466" t="s">
        <v>415</v>
      </c>
      <c r="R1317" s="2466">
        <f>$O$12</f>
        <v>0</v>
      </c>
      <c r="S1317" s="2027"/>
      <c r="T1317" s="2027"/>
      <c r="U1317" s="2027"/>
      <c r="V1317" s="2027"/>
      <c r="W1317" s="2027"/>
      <c r="X1317" s="2027"/>
      <c r="Y1317" s="2027"/>
      <c r="Z1317" s="2027"/>
      <c r="AA1317" s="2027"/>
      <c r="AB1317" s="2027"/>
      <c r="AC1317" s="2027"/>
      <c r="AD1317" s="2027"/>
      <c r="AE1317" s="2027"/>
      <c r="AF1317" s="2027"/>
    </row>
    <row r="1318" spans="1:32" ht="15">
      <c r="A1318" s="2466" t="s">
        <v>1836</v>
      </c>
      <c r="B1318" s="1996" t="s">
        <v>1732</v>
      </c>
      <c r="C1318" s="1996"/>
      <c r="D1318" s="1996"/>
      <c r="E1318" s="1997"/>
      <c r="F1318" s="1996"/>
      <c r="G1318" s="1997"/>
      <c r="H1318" s="2464"/>
      <c r="I1318" s="1996"/>
      <c r="J1318" s="1996"/>
      <c r="K1318" s="1996"/>
      <c r="L1318" s="2810" t="str">
        <f t="shared" ref="L1318" si="423">IF(OR($O1318=$M1318,$O1318=0,$O1318=""),"","* * Check Score! * *")</f>
        <v/>
      </c>
      <c r="M1318" s="2011">
        <v>20</v>
      </c>
      <c r="N1318" s="2814"/>
      <c r="O1318" s="2805">
        <f>'Part VIII Scoring Criteria'!O161</f>
        <v>20</v>
      </c>
      <c r="P1318" s="2805"/>
      <c r="Q1318" s="2809"/>
      <c r="R1318" s="2812"/>
      <c r="S1318" s="1997"/>
      <c r="T1318" s="1997"/>
      <c r="U1318" s="1997"/>
      <c r="V1318" s="1997"/>
      <c r="W1318" s="1997"/>
      <c r="X1318" s="1997"/>
      <c r="Y1318" s="1997"/>
      <c r="Z1318" s="1997"/>
      <c r="AA1318" s="1997"/>
      <c r="AB1318" s="1997"/>
      <c r="AC1318" s="1997"/>
      <c r="AD1318" s="1997"/>
      <c r="AE1318" s="1997"/>
      <c r="AF1318" s="1997"/>
    </row>
    <row r="1319" spans="1:32" ht="15">
      <c r="A1319" s="2466" t="s">
        <v>1838</v>
      </c>
      <c r="B1319" s="1996" t="s">
        <v>3197</v>
      </c>
      <c r="C1319" s="1997"/>
      <c r="D1319" s="1997"/>
      <c r="E1319" s="1997"/>
      <c r="F1319" s="1997"/>
      <c r="G1319" s="1997"/>
      <c r="H1319" s="2464"/>
      <c r="I1319" s="1996"/>
      <c r="J1319" s="1996"/>
      <c r="K1319" s="2847"/>
      <c r="L1319" s="1996"/>
      <c r="M1319" s="2011" t="s">
        <v>1163</v>
      </c>
      <c r="N1319" s="2464"/>
      <c r="O1319" s="2805">
        <f>'Part VIII Scoring Criteria'!O162</f>
        <v>0</v>
      </c>
      <c r="P1319" s="2805"/>
      <c r="Q1319" s="1997"/>
      <c r="R1319" s="2812"/>
      <c r="S1319" s="1997"/>
      <c r="T1319" s="1997"/>
      <c r="U1319" s="1997"/>
      <c r="V1319" s="1997"/>
      <c r="W1319" s="1997"/>
      <c r="X1319" s="1997"/>
      <c r="Y1319" s="1997"/>
      <c r="Z1319" s="1997"/>
      <c r="AA1319" s="1997"/>
      <c r="AB1319" s="1997"/>
      <c r="AC1319" s="1997"/>
      <c r="AD1319" s="1997"/>
      <c r="AE1319" s="1997"/>
      <c r="AF1319" s="1997"/>
    </row>
    <row r="1320" spans="1:32" ht="15">
      <c r="A1320" s="1997"/>
      <c r="B1320" s="2806" t="s">
        <v>5113</v>
      </c>
      <c r="C1320" s="1997"/>
      <c r="D1320" s="1997"/>
      <c r="E1320" s="1997"/>
      <c r="F1320" s="1997"/>
      <c r="G1320" s="1997"/>
      <c r="H1320" s="1997"/>
      <c r="I1320" s="1997"/>
      <c r="J1320" s="1997"/>
      <c r="K1320" s="1997"/>
      <c r="L1320" s="2027"/>
      <c r="M1320" s="2011"/>
      <c r="N1320" s="2016"/>
      <c r="O1320" s="2026"/>
      <c r="P1320" s="2029"/>
      <c r="Q1320" s="2027"/>
      <c r="R1320" s="2027"/>
      <c r="S1320" s="2027"/>
      <c r="T1320" s="2027"/>
      <c r="U1320" s="2027"/>
      <c r="V1320" s="2027"/>
      <c r="W1320" s="2027"/>
      <c r="X1320" s="2027"/>
      <c r="Y1320" s="2027"/>
      <c r="Z1320" s="2027"/>
      <c r="AA1320" s="2027"/>
      <c r="AB1320" s="2027"/>
      <c r="AC1320" s="2027"/>
      <c r="AD1320" s="2027"/>
      <c r="AE1320" s="2027"/>
      <c r="AF1320" s="2027"/>
    </row>
    <row r="1321" spans="1:32" ht="15">
      <c r="A1321" s="2821" t="str">
        <f>'Part VIII Scoring Criteria'!A164</f>
        <v>Development qualifies for 20 points of desirable amenities</v>
      </c>
      <c r="B1321" s="2821"/>
      <c r="C1321" s="2821"/>
      <c r="D1321" s="2821"/>
      <c r="E1321" s="2821"/>
      <c r="F1321" s="2821"/>
      <c r="G1321" s="2821"/>
      <c r="H1321" s="2821"/>
      <c r="I1321" s="2821"/>
      <c r="J1321" s="2821"/>
      <c r="K1321" s="2821"/>
      <c r="L1321" s="2821"/>
      <c r="M1321" s="2821"/>
      <c r="N1321" s="2821"/>
      <c r="O1321" s="2821"/>
      <c r="P1321" s="2821"/>
      <c r="Q1321" s="1996"/>
      <c r="R1321" s="1996"/>
      <c r="S1321" s="2027"/>
      <c r="T1321" s="2027"/>
      <c r="U1321" s="2027"/>
      <c r="V1321" s="2027"/>
      <c r="W1321" s="2027"/>
      <c r="X1321" s="2027"/>
      <c r="Y1321" s="2027"/>
      <c r="Z1321" s="2027"/>
      <c r="AA1321" s="2027"/>
      <c r="AB1321" s="2027"/>
      <c r="AC1321" s="2027"/>
      <c r="AD1321" s="2027"/>
      <c r="AE1321" s="2027"/>
      <c r="AF1321" s="2027"/>
    </row>
    <row r="1322" spans="1:32" ht="15">
      <c r="A1322" s="1997"/>
      <c r="B1322" s="2806" t="s">
        <v>1725</v>
      </c>
      <c r="C1322" s="1997"/>
      <c r="D1322" s="2821"/>
      <c r="E1322" s="2034"/>
      <c r="F1322" s="2034"/>
      <c r="G1322" s="2034"/>
      <c r="H1322" s="2034"/>
      <c r="I1322" s="2034"/>
      <c r="J1322" s="2034"/>
      <c r="K1322" s="2034"/>
      <c r="L1322" s="2034"/>
      <c r="M1322" s="2034"/>
      <c r="N1322" s="2032"/>
      <c r="O1322" s="2817"/>
      <c r="P1322" s="2466"/>
      <c r="Q1322" s="2027"/>
      <c r="R1322" s="2027"/>
      <c r="S1322" s="2027"/>
      <c r="T1322" s="2027"/>
      <c r="U1322" s="2027"/>
      <c r="V1322" s="2027"/>
      <c r="W1322" s="2027"/>
      <c r="X1322" s="2027"/>
      <c r="Y1322" s="2027"/>
      <c r="Z1322" s="2027"/>
      <c r="AA1322" s="2027"/>
      <c r="AB1322" s="2027"/>
      <c r="AC1322" s="2027"/>
      <c r="AD1322" s="2027"/>
      <c r="AE1322" s="2027"/>
      <c r="AF1322" s="2027"/>
    </row>
    <row r="1323" spans="1:32" ht="15">
      <c r="A1323" s="2033"/>
      <c r="B1323" s="2033"/>
      <c r="C1323" s="2033"/>
      <c r="D1323" s="2033"/>
      <c r="E1323" s="2033"/>
      <c r="F1323" s="2033"/>
      <c r="G1323" s="2033"/>
      <c r="H1323" s="2033"/>
      <c r="I1323" s="2033"/>
      <c r="J1323" s="2033"/>
      <c r="K1323" s="2033"/>
      <c r="L1323" s="2033"/>
      <c r="M1323" s="2033"/>
      <c r="N1323" s="2033"/>
      <c r="O1323" s="2033"/>
      <c r="P1323" s="2033"/>
      <c r="Q1323" s="1996"/>
      <c r="R1323" s="1996"/>
      <c r="S1323" s="2027"/>
      <c r="T1323" s="2027"/>
      <c r="U1323" s="2027"/>
      <c r="V1323" s="2027"/>
      <c r="W1323" s="2027"/>
      <c r="X1323" s="2027"/>
      <c r="Y1323" s="2027"/>
      <c r="Z1323" s="2027"/>
      <c r="AA1323" s="2027"/>
      <c r="AB1323" s="2027"/>
      <c r="AC1323" s="2027"/>
      <c r="AD1323" s="2027"/>
      <c r="AE1323" s="2027"/>
      <c r="AF1323" s="2027"/>
    </row>
    <row r="1324" spans="1:32" ht="15">
      <c r="A1324" s="1997"/>
      <c r="B1324" s="2469"/>
      <c r="C1324" s="1997"/>
      <c r="D1324" s="1996"/>
      <c r="E1324" s="1997"/>
      <c r="F1324" s="1997"/>
      <c r="G1324" s="2470"/>
      <c r="H1324" s="2470"/>
      <c r="I1324" s="2470"/>
      <c r="J1324" s="2470"/>
      <c r="K1324" s="2470"/>
      <c r="L1324" s="2470"/>
      <c r="M1324" s="2011"/>
      <c r="N1324" s="2016"/>
      <c r="O1324" s="2026"/>
      <c r="P1324" s="2466"/>
      <c r="Q1324" s="2027"/>
      <c r="R1324" s="1997"/>
      <c r="S1324" s="1997"/>
      <c r="T1324" s="1997"/>
      <c r="U1324" s="1997"/>
      <c r="V1324" s="1997"/>
      <c r="W1324" s="1997"/>
      <c r="X1324" s="2471"/>
      <c r="Y1324" s="2471"/>
      <c r="Z1324" s="2471"/>
      <c r="AA1324" s="2471"/>
      <c r="AB1324" s="2471"/>
      <c r="AC1324" s="2471"/>
      <c r="AD1324" s="2471"/>
      <c r="AE1324" s="2471"/>
      <c r="AF1324" s="2471"/>
    </row>
    <row r="1325" spans="1:32" ht="15">
      <c r="A1325" s="2027"/>
      <c r="B1325" s="2027"/>
      <c r="C1325" s="2027"/>
      <c r="D1325" s="2027"/>
      <c r="E1325" s="2027"/>
      <c r="F1325" s="2027"/>
      <c r="G1325" s="2027"/>
      <c r="H1325" s="2027"/>
      <c r="I1325" s="2027"/>
      <c r="J1325" s="2027"/>
      <c r="K1325" s="2027"/>
      <c r="L1325" s="2027"/>
      <c r="M1325" s="2027"/>
      <c r="N1325" s="2016"/>
      <c r="O1325" s="2029"/>
      <c r="P1325" s="2029"/>
      <c r="Q1325" s="2027"/>
      <c r="R1325" s="2027"/>
      <c r="S1325" s="2027"/>
      <c r="T1325" s="2462"/>
      <c r="U1325" s="2462"/>
      <c r="V1325" s="2027"/>
      <c r="W1325" s="2027"/>
      <c r="X1325" s="2027"/>
      <c r="Y1325" s="2027"/>
      <c r="Z1325" s="2027"/>
      <c r="AA1325" s="2027"/>
      <c r="AB1325" s="2027"/>
      <c r="AC1325" s="2027"/>
      <c r="AD1325" s="2027"/>
      <c r="AE1325" s="2027"/>
      <c r="AF1325" s="2027"/>
    </row>
    <row r="1326" spans="1:32" ht="15">
      <c r="A1326" s="2461" t="s">
        <v>344</v>
      </c>
      <c r="B1326" s="2462" t="s">
        <v>2407</v>
      </c>
      <c r="C1326" s="2027"/>
      <c r="D1326" s="2027"/>
      <c r="E1326" s="2027"/>
      <c r="F1326" s="2027"/>
      <c r="G1326" s="2027"/>
      <c r="H1326" s="2868"/>
      <c r="I1326" s="2812"/>
      <c r="J1326" s="2466"/>
      <c r="K1326" s="2466"/>
      <c r="L1326" s="2808" t="s">
        <v>4896</v>
      </c>
      <c r="M1326" s="2466">
        <v>6</v>
      </c>
      <c r="N1326" s="2464"/>
      <c r="O1326" s="2805">
        <f>'Part VIII Scoring Criteria'!O169</f>
        <v>2</v>
      </c>
      <c r="P1326" s="2805">
        <f>'Part VIII Scoring Criteria'!P169</f>
        <v>0</v>
      </c>
      <c r="Q1326" s="2466" t="s">
        <v>415</v>
      </c>
      <c r="R1326" s="2466">
        <f>$O$12</f>
        <v>0</v>
      </c>
      <c r="S1326" s="2027"/>
      <c r="T1326" s="2027"/>
      <c r="U1326" s="2027"/>
      <c r="V1326" s="2027"/>
      <c r="W1326" s="2027"/>
      <c r="X1326" s="2027"/>
      <c r="Y1326" s="2027"/>
      <c r="Z1326" s="2027"/>
      <c r="AA1326" s="2027"/>
      <c r="AB1326" s="2027"/>
      <c r="AC1326" s="2027"/>
      <c r="AD1326" s="2027"/>
      <c r="AE1326" s="2027"/>
      <c r="AF1326" s="2027"/>
    </row>
    <row r="1327" spans="1:32" ht="15">
      <c r="A1327" s="2461"/>
      <c r="B1327" s="2462"/>
      <c r="C1327" s="2027"/>
      <c r="D1327" s="2027"/>
      <c r="E1327" s="2027"/>
      <c r="F1327" s="2027"/>
      <c r="G1327" s="2027"/>
      <c r="H1327" s="2462"/>
      <c r="I1327" s="2806"/>
      <c r="J1327" s="1997"/>
      <c r="K1327" s="1997"/>
      <c r="L1327" s="2027"/>
      <c r="M1327" s="2466"/>
      <c r="N1327" s="2464"/>
      <c r="O1327" s="2026"/>
      <c r="P1327" s="2026"/>
      <c r="Q1327" s="2466"/>
      <c r="R1327" s="2027"/>
      <c r="S1327" s="2027"/>
      <c r="T1327" s="2027"/>
      <c r="U1327" s="2027"/>
      <c r="V1327" s="2027"/>
      <c r="W1327" s="2027"/>
      <c r="X1327" s="2027"/>
      <c r="Y1327" s="2027"/>
      <c r="Z1327" s="2027"/>
      <c r="AA1327" s="2027"/>
      <c r="AB1327" s="2027"/>
      <c r="AC1327" s="2027"/>
      <c r="AD1327" s="2027"/>
      <c r="AE1327" s="2027"/>
      <c r="AF1327" s="2027"/>
    </row>
    <row r="1328" spans="1:32" ht="14.1" customHeight="1">
      <c r="A1328" s="2461"/>
      <c r="B1328" s="1997" t="s">
        <v>3240</v>
      </c>
      <c r="C1328" s="2027"/>
      <c r="D1328" s="2027"/>
      <c r="E1328" s="2027"/>
      <c r="F1328" s="1997" t="s">
        <v>3131</v>
      </c>
      <c r="G1328" s="1997"/>
      <c r="H1328" s="1997"/>
      <c r="I1328" s="1997"/>
      <c r="J1328" s="1997" t="s">
        <v>3132</v>
      </c>
      <c r="K1328" s="1997"/>
      <c r="L1328" s="1997"/>
      <c r="M1328" s="1997"/>
      <c r="N1328" s="2464"/>
      <c r="O1328" s="2869" t="s">
        <v>4696</v>
      </c>
      <c r="P1328" s="2869"/>
      <c r="Q1328" s="2027"/>
      <c r="R1328" s="2027"/>
      <c r="S1328" s="2027"/>
      <c r="T1328" s="2027"/>
      <c r="U1328" s="2027"/>
      <c r="V1328" s="2027"/>
      <c r="W1328" s="2027"/>
      <c r="X1328" s="2027"/>
      <c r="Y1328" s="2027"/>
      <c r="Z1328" s="2027"/>
      <c r="AA1328" s="2027"/>
      <c r="AB1328" s="2027"/>
      <c r="AC1328" s="2027"/>
      <c r="AD1328" s="2027"/>
      <c r="AE1328" s="2027"/>
      <c r="AF1328" s="2027"/>
    </row>
    <row r="1329" spans="1:32" ht="14.25">
      <c r="A1329" s="2027"/>
      <c r="B1329" s="2870"/>
      <c r="C1329" s="2030" t="s">
        <v>4697</v>
      </c>
      <c r="D1329" s="2027"/>
      <c r="E1329" s="2027"/>
      <c r="F1329" s="1997" t="str">
        <f>'Part VIII Scoring Criteria'!F172</f>
        <v>33.936824</v>
      </c>
      <c r="G1329" s="1997"/>
      <c r="H1329" s="1997"/>
      <c r="I1329" s="1997"/>
      <c r="J1329" s="1997" t="str">
        <f>'Part VIII Scoring Criteria'!J172</f>
        <v>-84.032159</v>
      </c>
      <c r="K1329" s="1997"/>
      <c r="L1329" s="1997"/>
      <c r="M1329" s="1997"/>
      <c r="N1329" s="2027"/>
      <c r="O1329" s="2869"/>
      <c r="P1329" s="2869"/>
      <c r="Q1329" s="2027"/>
      <c r="R1329" s="2027"/>
      <c r="S1329" s="2027"/>
      <c r="T1329" s="2027"/>
      <c r="U1329" s="2027"/>
      <c r="V1329" s="2027"/>
      <c r="W1329" s="2027"/>
      <c r="X1329" s="2027"/>
      <c r="Y1329" s="2027"/>
      <c r="Z1329" s="2027"/>
      <c r="AA1329" s="2027"/>
      <c r="AB1329" s="2027"/>
      <c r="AC1329" s="2027"/>
      <c r="AD1329" s="2027"/>
      <c r="AE1329" s="2027"/>
      <c r="AF1329" s="2027"/>
    </row>
    <row r="1330" spans="1:32" ht="14.25">
      <c r="A1330" s="2870"/>
      <c r="B1330" s="2033"/>
      <c r="C1330" s="2030" t="s">
        <v>4698</v>
      </c>
      <c r="D1330" s="2027"/>
      <c r="E1330" s="2027"/>
      <c r="F1330" s="1997" t="str">
        <f>'Part VIII Scoring Criteria'!F173</f>
        <v>33.935496</v>
      </c>
      <c r="G1330" s="1997"/>
      <c r="H1330" s="1997"/>
      <c r="I1330" s="1997"/>
      <c r="J1330" s="1997" t="str">
        <f>'Part VIII Scoring Criteria'!J173</f>
        <v>-84.028220</v>
      </c>
      <c r="K1330" s="1997"/>
      <c r="L1330" s="1997"/>
      <c r="M1330" s="1997"/>
      <c r="N1330" s="2464"/>
      <c r="O1330" s="2871">
        <f>'Part VIII Scoring Criteria'!O173</f>
        <v>0.3</v>
      </c>
      <c r="P1330" s="2871"/>
      <c r="Q1330" s="2027"/>
      <c r="R1330" s="2027"/>
      <c r="S1330" s="2027"/>
      <c r="T1330" s="2027"/>
      <c r="U1330" s="2027"/>
      <c r="V1330" s="2027"/>
      <c r="W1330" s="2027"/>
      <c r="X1330" s="2027"/>
      <c r="Y1330" s="2027"/>
      <c r="Z1330" s="2027"/>
      <c r="AA1330" s="2027"/>
      <c r="AB1330" s="2027"/>
      <c r="AC1330" s="2027"/>
      <c r="AD1330" s="2027"/>
      <c r="AE1330" s="2027"/>
      <c r="AF1330" s="2027"/>
    </row>
    <row r="1331" spans="1:32" ht="14.25">
      <c r="A1331" s="2033"/>
      <c r="B1331" s="2027" t="s">
        <v>4720</v>
      </c>
      <c r="C1331" s="2027"/>
      <c r="D1331" s="2027"/>
      <c r="E1331" s="2027"/>
      <c r="F1331" s="2016" t="s">
        <v>4699</v>
      </c>
      <c r="G1331" s="1997" t="s">
        <v>1667</v>
      </c>
      <c r="H1331" s="1997"/>
      <c r="I1331" s="1997"/>
      <c r="J1331" s="1997" t="s">
        <v>4717</v>
      </c>
      <c r="K1331" s="1997"/>
      <c r="L1331" s="1997"/>
      <c r="M1331" s="1997"/>
      <c r="N1331" s="1997"/>
      <c r="O1331" s="1997"/>
      <c r="P1331" s="1997"/>
      <c r="Q1331" s="2027"/>
      <c r="R1331" s="2027"/>
      <c r="S1331" s="2027"/>
      <c r="T1331" s="2027"/>
      <c r="U1331" s="2027"/>
      <c r="V1331" s="2027"/>
      <c r="W1331" s="2027"/>
      <c r="X1331" s="2027"/>
      <c r="Y1331" s="2027"/>
      <c r="Z1331" s="2027"/>
      <c r="AA1331" s="2027"/>
      <c r="AB1331" s="2027"/>
      <c r="AC1331" s="2027"/>
      <c r="AD1331" s="2027"/>
      <c r="AE1331" s="2027"/>
      <c r="AF1331" s="2027"/>
    </row>
    <row r="1332" spans="1:32" ht="14.25">
      <c r="A1332" s="2033"/>
      <c r="B1332" s="1997" t="str">
        <f>'Part VIII Scoring Criteria'!B175</f>
        <v>Ride Gwinnett (Gwinnett County Transit)</v>
      </c>
      <c r="C1332" s="1997"/>
      <c r="D1332" s="1997"/>
      <c r="E1332" s="1997"/>
      <c r="F1332" s="2872" t="str">
        <f>'Part VIII Scoring Criteria'!F175</f>
        <v>770.822.8000</v>
      </c>
      <c r="G1332" s="1997" t="str">
        <f>'Part VIII Scoring Criteria'!G175</f>
        <v>Transit@GwinnettCounty.com</v>
      </c>
      <c r="H1332" s="1997"/>
      <c r="I1332" s="1997"/>
      <c r="J1332" s="1997" t="str">
        <f>'Part VIII Scoring Criteria'!J175</f>
        <v>https://www.gwinnettcounty.com/web/gwinnett/departments/transportation/gwinnettcountytransit</v>
      </c>
      <c r="K1332" s="1997"/>
      <c r="L1332" s="1997"/>
      <c r="M1332" s="1997"/>
      <c r="N1332" s="1997"/>
      <c r="O1332" s="1997"/>
      <c r="P1332" s="1997"/>
      <c r="Q1332" s="2027"/>
      <c r="R1332" s="2027"/>
      <c r="S1332" s="2027"/>
      <c r="T1332" s="2027"/>
      <c r="U1332" s="2027"/>
      <c r="V1332" s="2027"/>
      <c r="W1332" s="2027"/>
      <c r="X1332" s="2027"/>
      <c r="Y1332" s="2027"/>
      <c r="Z1332" s="2027"/>
      <c r="AA1332" s="2027"/>
      <c r="AB1332" s="2027"/>
      <c r="AC1332" s="2027"/>
      <c r="AD1332" s="2027"/>
      <c r="AE1332" s="2027"/>
      <c r="AF1332" s="2027"/>
    </row>
    <row r="1333" spans="1:32" ht="15">
      <c r="A1333" s="2873"/>
      <c r="B1333" s="2462"/>
      <c r="C1333" s="2027"/>
      <c r="D1333" s="2027"/>
      <c r="E1333" s="2027"/>
      <c r="F1333" s="2809"/>
      <c r="G1333" s="2027"/>
      <c r="H1333" s="2027"/>
      <c r="I1333" s="2027"/>
      <c r="J1333" s="2027"/>
      <c r="K1333" s="2027"/>
      <c r="L1333" s="2027"/>
      <c r="M1333" s="2466"/>
      <c r="N1333" s="2466"/>
      <c r="O1333" s="2466"/>
      <c r="P1333" s="2466"/>
      <c r="Q1333" s="2466"/>
      <c r="R1333" s="1997"/>
      <c r="S1333" s="1997"/>
      <c r="T1333" s="1997"/>
      <c r="U1333" s="1997"/>
      <c r="V1333" s="2027"/>
      <c r="W1333" s="2027"/>
      <c r="X1333" s="2027"/>
      <c r="Y1333" s="2027"/>
      <c r="Z1333" s="2027"/>
      <c r="AA1333" s="2027"/>
      <c r="AB1333" s="2027"/>
      <c r="AC1333" s="2027"/>
      <c r="AD1333" s="2027"/>
      <c r="AE1333" s="2027"/>
      <c r="AF1333" s="2027"/>
    </row>
    <row r="1334" spans="1:32" ht="15">
      <c r="A1334" s="2817" t="s">
        <v>1836</v>
      </c>
      <c r="B1334" s="1996" t="s">
        <v>3155</v>
      </c>
      <c r="C1334" s="2027"/>
      <c r="D1334" s="2027"/>
      <c r="E1334" s="2027"/>
      <c r="F1334" s="2462"/>
      <c r="G1334" s="2027"/>
      <c r="H1334" s="2027"/>
      <c r="I1334" s="2027"/>
      <c r="J1334" s="2027"/>
      <c r="K1334" s="2027"/>
      <c r="L1334" s="2840" t="s">
        <v>4867</v>
      </c>
      <c r="M1334" s="2466">
        <v>6</v>
      </c>
      <c r="N1334" s="2843"/>
      <c r="O1334" s="2805">
        <f>'Part VIII Scoring Criteria'!O177</f>
        <v>0</v>
      </c>
      <c r="P1334" s="2805">
        <f>'Part VIII Scoring Criteria'!P177</f>
        <v>0</v>
      </c>
      <c r="Q1334" s="2466"/>
      <c r="R1334" s="2027"/>
      <c r="S1334" s="2874" t="s">
        <v>4162</v>
      </c>
      <c r="T1334" s="2874" t="s">
        <v>4047</v>
      </c>
      <c r="U1334" s="2027"/>
      <c r="V1334" s="2027"/>
      <c r="W1334" s="2027"/>
      <c r="X1334" s="2027"/>
      <c r="Y1334" s="2027"/>
      <c r="Z1334" s="2027"/>
      <c r="AA1334" s="2027"/>
      <c r="AB1334" s="2027"/>
      <c r="AC1334" s="2027"/>
      <c r="AD1334" s="2027"/>
      <c r="AE1334" s="2027"/>
      <c r="AF1334" s="2027"/>
    </row>
    <row r="1335" spans="1:32" ht="14.1" customHeight="1">
      <c r="A1335" s="2032"/>
      <c r="B1335" s="2815" t="s">
        <v>1839</v>
      </c>
      <c r="C1335" s="2033" t="s">
        <v>5115</v>
      </c>
      <c r="D1335" s="2033"/>
      <c r="E1335" s="2033"/>
      <c r="F1335" s="2033"/>
      <c r="G1335" s="2033"/>
      <c r="H1335" s="2033"/>
      <c r="I1335" s="2033"/>
      <c r="J1335" s="2033"/>
      <c r="K1335" s="2033"/>
      <c r="L1335" s="2810" t="str">
        <f t="shared" ref="L1335:L1336" si="424">IF(OR($O1335=$M1335,$O1335=0,$O1335=""),"","* * Check Score! * *")</f>
        <v/>
      </c>
      <c r="M1335" s="2032">
        <v>6</v>
      </c>
      <c r="N1335" s="2844"/>
      <c r="O1335" s="2853">
        <f>'Part VIII Scoring Criteria'!O178</f>
        <v>0</v>
      </c>
      <c r="P1335" s="2853"/>
      <c r="Q1335" s="2033"/>
      <c r="R1335" s="2875" t="s">
        <v>4565</v>
      </c>
      <c r="S1335" s="2786">
        <v>0.25</v>
      </c>
      <c r="T1335" s="2786">
        <v>5</v>
      </c>
      <c r="U1335" s="2033"/>
      <c r="V1335" s="2033"/>
      <c r="W1335" s="2033"/>
      <c r="X1335" s="2033"/>
      <c r="Y1335" s="2033"/>
      <c r="Z1335" s="2033"/>
      <c r="AA1335" s="2033"/>
      <c r="AB1335" s="2033"/>
      <c r="AC1335" s="2033"/>
      <c r="AD1335" s="2033"/>
      <c r="AE1335" s="2033"/>
      <c r="AF1335" s="2033"/>
    </row>
    <row r="1336" spans="1:32" ht="15">
      <c r="A1336" s="2466" t="s">
        <v>1273</v>
      </c>
      <c r="B1336" s="2815" t="s">
        <v>1841</v>
      </c>
      <c r="C1336" s="1997" t="s">
        <v>5116</v>
      </c>
      <c r="D1336" s="1997"/>
      <c r="E1336" s="1997"/>
      <c r="F1336" s="1997"/>
      <c r="G1336" s="1997"/>
      <c r="H1336" s="1997"/>
      <c r="I1336" s="1997"/>
      <c r="J1336" s="1997"/>
      <c r="K1336" s="1997"/>
      <c r="L1336" s="2810" t="str">
        <f t="shared" si="424"/>
        <v/>
      </c>
      <c r="M1336" s="2011">
        <v>5</v>
      </c>
      <c r="N1336" s="2845"/>
      <c r="O1336" s="2805">
        <f>'Part VIII Scoring Criteria'!O179</f>
        <v>0</v>
      </c>
      <c r="P1336" s="2805"/>
      <c r="Q1336" s="2033"/>
      <c r="R1336" s="2875"/>
      <c r="S1336" s="2786">
        <v>0.5</v>
      </c>
      <c r="T1336" s="2786">
        <v>4.5</v>
      </c>
      <c r="U1336" s="2033"/>
      <c r="V1336" s="2033"/>
      <c r="W1336" s="2033"/>
      <c r="X1336" s="2033"/>
      <c r="Y1336" s="2033"/>
      <c r="Z1336" s="2033"/>
      <c r="AA1336" s="2033"/>
      <c r="AB1336" s="2033"/>
      <c r="AC1336" s="2033"/>
      <c r="AD1336" s="2033"/>
      <c r="AE1336" s="2033"/>
      <c r="AF1336" s="2033"/>
    </row>
    <row r="1337" spans="1:32" ht="15">
      <c r="A1337" s="2817" t="s">
        <v>1838</v>
      </c>
      <c r="B1337" s="2800" t="s">
        <v>3156</v>
      </c>
      <c r="C1337" s="2033"/>
      <c r="D1337" s="2033"/>
      <c r="E1337" s="2033"/>
      <c r="F1337" s="2820"/>
      <c r="G1337" s="2033"/>
      <c r="H1337" s="1997"/>
      <c r="I1337" s="1997"/>
      <c r="J1337" s="2033"/>
      <c r="K1337" s="2033"/>
      <c r="L1337" s="2876"/>
      <c r="M1337" s="2466">
        <v>3</v>
      </c>
      <c r="N1337" s="2464"/>
      <c r="O1337" s="2026">
        <f>'Part VIII Scoring Criteria'!O180</f>
        <v>2</v>
      </c>
      <c r="P1337" s="2026">
        <f>'Part VIII Scoring Criteria'!P180</f>
        <v>0</v>
      </c>
      <c r="Q1337" s="2033"/>
      <c r="R1337" s="2875"/>
      <c r="S1337" s="2786">
        <v>1</v>
      </c>
      <c r="T1337" s="2786">
        <v>4</v>
      </c>
      <c r="U1337" s="2033"/>
      <c r="V1337" s="2033"/>
      <c r="W1337" s="2033"/>
      <c r="X1337" s="2033"/>
      <c r="Y1337" s="2033"/>
      <c r="Z1337" s="2033"/>
      <c r="AA1337" s="2033"/>
      <c r="AB1337" s="2033"/>
      <c r="AC1337" s="2033"/>
      <c r="AD1337" s="2033"/>
      <c r="AE1337" s="2033"/>
      <c r="AF1337" s="2033"/>
    </row>
    <row r="1338" spans="1:32" ht="15">
      <c r="A1338" s="2461"/>
      <c r="B1338" s="2877" t="s">
        <v>1839</v>
      </c>
      <c r="C1338" s="1997" t="s">
        <v>5117</v>
      </c>
      <c r="D1338" s="1997"/>
      <c r="E1338" s="1997"/>
      <c r="F1338" s="1997"/>
      <c r="G1338" s="1997"/>
      <c r="H1338" s="1997"/>
      <c r="I1338" s="1997"/>
      <c r="J1338" s="1997"/>
      <c r="K1338" s="1997"/>
      <c r="L1338" s="2810" t="str">
        <f t="shared" ref="L1338:L1340" si="425">IF(OR($O1338=$M1338,$O1338=0,$O1338=""),"","* * Check Score! * *")</f>
        <v>* * Check Score! * *</v>
      </c>
      <c r="M1338" s="2011">
        <v>3</v>
      </c>
      <c r="N1338" s="2845"/>
      <c r="O1338" s="2026">
        <f>'Part VIII Scoring Criteria'!O181</f>
        <v>2</v>
      </c>
      <c r="P1338" s="2026"/>
      <c r="Q1338" s="2027"/>
      <c r="R1338" s="2875" t="s">
        <v>4566</v>
      </c>
      <c r="S1338" s="2786">
        <v>0.25</v>
      </c>
      <c r="T1338" s="2786">
        <v>3</v>
      </c>
      <c r="U1338" s="2033"/>
      <c r="V1338" s="2027"/>
      <c r="W1338" s="2027"/>
      <c r="X1338" s="2027"/>
      <c r="Y1338" s="2027"/>
      <c r="Z1338" s="2027"/>
      <c r="AA1338" s="2027"/>
      <c r="AB1338" s="2027"/>
      <c r="AC1338" s="2027"/>
      <c r="AD1338" s="2027"/>
      <c r="AE1338" s="2027"/>
      <c r="AF1338" s="2027"/>
    </row>
    <row r="1339" spans="1:32" ht="15">
      <c r="A1339" s="2466" t="s">
        <v>1273</v>
      </c>
      <c r="B1339" s="2877" t="s">
        <v>1841</v>
      </c>
      <c r="C1339" s="1997" t="s">
        <v>5118</v>
      </c>
      <c r="D1339" s="1997"/>
      <c r="E1339" s="1997"/>
      <c r="F1339" s="1997"/>
      <c r="G1339" s="1997"/>
      <c r="H1339" s="1997"/>
      <c r="I1339" s="1997"/>
      <c r="J1339" s="2033"/>
      <c r="K1339" s="2033"/>
      <c r="L1339" s="2810" t="str">
        <f t="shared" si="425"/>
        <v/>
      </c>
      <c r="M1339" s="2011">
        <v>1</v>
      </c>
      <c r="N1339" s="2845"/>
      <c r="O1339" s="2026">
        <f>'Part VIII Scoring Criteria'!O182</f>
        <v>0</v>
      </c>
      <c r="P1339" s="2026"/>
      <c r="Q1339" s="2027"/>
      <c r="R1339" s="2875"/>
      <c r="S1339" s="2786">
        <v>0.5</v>
      </c>
      <c r="T1339" s="2786">
        <v>2</v>
      </c>
      <c r="U1339" s="2033"/>
      <c r="V1339" s="2027"/>
      <c r="W1339" s="2027"/>
      <c r="X1339" s="2027"/>
      <c r="Y1339" s="2027"/>
      <c r="Z1339" s="2027"/>
      <c r="AA1339" s="2027"/>
      <c r="AB1339" s="2027"/>
      <c r="AC1339" s="2027"/>
      <c r="AD1339" s="2027"/>
      <c r="AE1339" s="2027"/>
      <c r="AF1339" s="2027"/>
    </row>
    <row r="1340" spans="1:32" ht="14.1" customHeight="1">
      <c r="A1340" s="2817" t="s">
        <v>1273</v>
      </c>
      <c r="B1340" s="2877" t="s">
        <v>2326</v>
      </c>
      <c r="C1340" s="2033" t="s">
        <v>5119</v>
      </c>
      <c r="D1340" s="2033"/>
      <c r="E1340" s="2033"/>
      <c r="F1340" s="2033"/>
      <c r="G1340" s="2033"/>
      <c r="H1340" s="2033"/>
      <c r="I1340" s="2033"/>
      <c r="J1340" s="2033"/>
      <c r="K1340" s="2033"/>
      <c r="L1340" s="2810" t="str">
        <f t="shared" si="425"/>
        <v/>
      </c>
      <c r="M1340" s="2032">
        <v>2</v>
      </c>
      <c r="N1340" s="2844"/>
      <c r="O1340" s="2026">
        <f>'Part VIII Scoring Criteria'!O183</f>
        <v>0</v>
      </c>
      <c r="P1340" s="2853"/>
      <c r="Q1340" s="2033"/>
      <c r="R1340" s="2875"/>
      <c r="S1340" s="2786">
        <v>1</v>
      </c>
      <c r="T1340" s="2786">
        <v>1</v>
      </c>
      <c r="U1340" s="2033"/>
      <c r="V1340" s="2033"/>
      <c r="W1340" s="2033"/>
      <c r="X1340" s="2033"/>
      <c r="Y1340" s="2033"/>
      <c r="Z1340" s="2033"/>
      <c r="AA1340" s="2033"/>
      <c r="AB1340" s="2033"/>
      <c r="AC1340" s="2033"/>
      <c r="AD1340" s="2033"/>
      <c r="AE1340" s="2033"/>
      <c r="AF1340" s="2033"/>
    </row>
    <row r="1341" spans="1:32" ht="15">
      <c r="A1341" s="1997"/>
      <c r="B1341" s="2806" t="s">
        <v>5113</v>
      </c>
      <c r="C1341" s="1997"/>
      <c r="D1341" s="1997"/>
      <c r="E1341" s="1997"/>
      <c r="F1341" s="1997"/>
      <c r="G1341" s="1997"/>
      <c r="H1341" s="1997"/>
      <c r="I1341" s="1997"/>
      <c r="J1341" s="1997"/>
      <c r="K1341" s="1997"/>
      <c r="L1341" s="2027"/>
      <c r="M1341" s="2011"/>
      <c r="N1341" s="2016"/>
      <c r="O1341" s="2026"/>
      <c r="P1341" s="2029"/>
      <c r="Q1341" s="2027"/>
      <c r="R1341" s="2027"/>
      <c r="S1341" s="2027"/>
      <c r="T1341" s="2027"/>
      <c r="U1341" s="2027"/>
      <c r="V1341" s="2027"/>
      <c r="W1341" s="2027"/>
      <c r="X1341" s="2027"/>
      <c r="Y1341" s="2027"/>
      <c r="Z1341" s="2027"/>
      <c r="AA1341" s="2027"/>
      <c r="AB1341" s="2027"/>
      <c r="AC1341" s="2027"/>
      <c r="AD1341" s="2027"/>
      <c r="AE1341" s="2027"/>
      <c r="AF1341" s="2027"/>
    </row>
    <row r="1342" spans="1:32" ht="15">
      <c r="A1342" s="2821" t="str">
        <f>'Part VIII Scoring Criteria'!A185</f>
        <v>Ride Gwinnett Route 40 has bus stop within .3 miles of the development’s pedestrian entrance.</v>
      </c>
      <c r="B1342" s="2821"/>
      <c r="C1342" s="2821"/>
      <c r="D1342" s="2821"/>
      <c r="E1342" s="2821"/>
      <c r="F1342" s="2821"/>
      <c r="G1342" s="2821"/>
      <c r="H1342" s="2821"/>
      <c r="I1342" s="2821"/>
      <c r="J1342" s="2821"/>
      <c r="K1342" s="2821"/>
      <c r="L1342" s="2821"/>
      <c r="M1342" s="2821"/>
      <c r="N1342" s="2821"/>
      <c r="O1342" s="2821"/>
      <c r="P1342" s="2821"/>
      <c r="Q1342" s="1996"/>
      <c r="R1342" s="1996"/>
      <c r="S1342" s="2027"/>
      <c r="T1342" s="2027"/>
      <c r="U1342" s="2027"/>
      <c r="V1342" s="2027"/>
      <c r="W1342" s="2027"/>
      <c r="X1342" s="2027"/>
      <c r="Y1342" s="2027"/>
      <c r="Z1342" s="2027"/>
      <c r="AA1342" s="2027"/>
      <c r="AB1342" s="2027"/>
      <c r="AC1342" s="2027"/>
      <c r="AD1342" s="2027"/>
      <c r="AE1342" s="2027"/>
      <c r="AF1342" s="2027"/>
    </row>
    <row r="1343" spans="1:32" ht="15">
      <c r="A1343" s="1997"/>
      <c r="B1343" s="2806" t="s">
        <v>1725</v>
      </c>
      <c r="C1343" s="1997"/>
      <c r="D1343" s="2806"/>
      <c r="E1343" s="2030"/>
      <c r="F1343" s="2030"/>
      <c r="G1343" s="2030"/>
      <c r="H1343" s="2030"/>
      <c r="I1343" s="2030"/>
      <c r="J1343" s="2030"/>
      <c r="K1343" s="2030"/>
      <c r="L1343" s="2030"/>
      <c r="M1343" s="2030"/>
      <c r="N1343" s="2011"/>
      <c r="O1343" s="2466"/>
      <c r="P1343" s="2466"/>
      <c r="Q1343" s="2027"/>
      <c r="R1343" s="1997"/>
      <c r="S1343" s="1997"/>
      <c r="T1343" s="1997"/>
      <c r="U1343" s="1997"/>
      <c r="V1343" s="1997"/>
      <c r="W1343" s="1997"/>
      <c r="X1343" s="1997"/>
      <c r="Y1343" s="1997"/>
      <c r="Z1343" s="1997"/>
      <c r="AA1343" s="1997"/>
      <c r="AB1343" s="1997"/>
      <c r="AC1343" s="1997"/>
      <c r="AD1343" s="1997"/>
      <c r="AE1343" s="1997"/>
      <c r="AF1343" s="1997"/>
    </row>
    <row r="1344" spans="1:32" ht="15">
      <c r="A1344" s="2033"/>
      <c r="B1344" s="2033"/>
      <c r="C1344" s="2033"/>
      <c r="D1344" s="2033"/>
      <c r="E1344" s="2033"/>
      <c r="F1344" s="2033"/>
      <c r="G1344" s="2033"/>
      <c r="H1344" s="2033"/>
      <c r="I1344" s="2033"/>
      <c r="J1344" s="2033"/>
      <c r="K1344" s="2033"/>
      <c r="L1344" s="2033"/>
      <c r="M1344" s="2033"/>
      <c r="N1344" s="2033"/>
      <c r="O1344" s="2033"/>
      <c r="P1344" s="2033"/>
      <c r="Q1344" s="1996"/>
      <c r="R1344" s="2027"/>
      <c r="S1344" s="2027"/>
      <c r="T1344" s="2027"/>
      <c r="U1344" s="2027"/>
      <c r="V1344" s="2027"/>
      <c r="W1344" s="2027"/>
      <c r="X1344" s="2027"/>
      <c r="Y1344" s="2027"/>
      <c r="Z1344" s="2027"/>
      <c r="AA1344" s="2027"/>
      <c r="AB1344" s="2027"/>
      <c r="AC1344" s="2027"/>
      <c r="AD1344" s="2027"/>
      <c r="AE1344" s="2027"/>
      <c r="AF1344" s="2027"/>
    </row>
    <row r="1345" spans="1:32" ht="15">
      <c r="A1345" s="2027"/>
      <c r="B1345" s="2027"/>
      <c r="C1345" s="2027"/>
      <c r="D1345" s="2027"/>
      <c r="E1345" s="2027"/>
      <c r="F1345" s="2027"/>
      <c r="G1345" s="2027"/>
      <c r="H1345" s="2027"/>
      <c r="I1345" s="2027"/>
      <c r="J1345" s="2027"/>
      <c r="K1345" s="2027"/>
      <c r="L1345" s="2027"/>
      <c r="M1345" s="2027"/>
      <c r="N1345" s="2016"/>
      <c r="O1345" s="2029"/>
      <c r="P1345" s="2029"/>
      <c r="Q1345" s="2027"/>
      <c r="R1345" s="2027"/>
      <c r="S1345" s="2027"/>
      <c r="T1345" s="2027"/>
      <c r="U1345" s="2027"/>
      <c r="V1345" s="2027"/>
      <c r="W1345" s="2027"/>
      <c r="X1345" s="2027"/>
      <c r="Y1345" s="2027"/>
      <c r="Z1345" s="2027"/>
      <c r="AA1345" s="2027"/>
      <c r="AB1345" s="2027"/>
      <c r="AC1345" s="2027"/>
      <c r="AD1345" s="2027"/>
      <c r="AE1345" s="2027"/>
      <c r="AF1345" s="2027"/>
    </row>
    <row r="1346" spans="1:32" ht="15">
      <c r="A1346" s="2027"/>
      <c r="B1346" s="2027"/>
      <c r="C1346" s="2027"/>
      <c r="D1346" s="2027"/>
      <c r="E1346" s="2027"/>
      <c r="F1346" s="2027"/>
      <c r="G1346" s="2027"/>
      <c r="H1346" s="2027"/>
      <c r="I1346" s="2027"/>
      <c r="J1346" s="2027"/>
      <c r="K1346" s="2027"/>
      <c r="L1346" s="2027"/>
      <c r="M1346" s="2027"/>
      <c r="N1346" s="2016"/>
      <c r="O1346" s="2029"/>
      <c r="P1346" s="2029"/>
      <c r="Q1346" s="2027"/>
      <c r="R1346" s="2027"/>
      <c r="S1346" s="2027"/>
      <c r="T1346" s="2027"/>
      <c r="U1346" s="2027"/>
      <c r="V1346" s="2027"/>
      <c r="W1346" s="2027"/>
      <c r="X1346" s="2027"/>
      <c r="Y1346" s="2027"/>
      <c r="Z1346" s="2027"/>
      <c r="AA1346" s="2027"/>
      <c r="AB1346" s="2027"/>
      <c r="AC1346" s="2027"/>
      <c r="AD1346" s="2027"/>
      <c r="AE1346" s="2027"/>
      <c r="AF1346" s="2027"/>
    </row>
    <row r="1347" spans="1:32" ht="15">
      <c r="A1347" s="2461" t="s">
        <v>1602</v>
      </c>
      <c r="B1347" s="2462" t="s">
        <v>4051</v>
      </c>
      <c r="C1347" s="2034"/>
      <c r="D1347" s="2034"/>
      <c r="E1347" s="2034"/>
      <c r="F1347" s="2027"/>
      <c r="G1347" s="2466"/>
      <c r="H1347" s="2812"/>
      <c r="I1347" s="2027"/>
      <c r="J1347" s="2027"/>
      <c r="K1347" s="2027"/>
      <c r="L1347" s="2808" t="s">
        <v>4896</v>
      </c>
      <c r="M1347" s="2466">
        <v>3</v>
      </c>
      <c r="N1347" s="2032"/>
      <c r="O1347" s="2026">
        <f>'Part VIII Scoring Criteria'!O190</f>
        <v>3</v>
      </c>
      <c r="P1347" s="2026">
        <f>'Part VIII Scoring Criteria'!P190</f>
        <v>0</v>
      </c>
      <c r="Q1347" s="2809" t="str">
        <f>IF(OR($O1347&lt;=$M1347,$O1347=0,$O1347=""),"","*CHECK!*")</f>
        <v/>
      </c>
      <c r="R1347" s="2812" t="s">
        <v>415</v>
      </c>
      <c r="S1347" s="2466">
        <f>$O$12</f>
        <v>0</v>
      </c>
      <c r="T1347" s="2027"/>
      <c r="U1347" s="2027"/>
      <c r="V1347" s="2027"/>
      <c r="W1347" s="2027"/>
      <c r="X1347" s="2027"/>
      <c r="Y1347" s="2027"/>
      <c r="Z1347" s="2027"/>
      <c r="AA1347" s="2027"/>
      <c r="AB1347" s="2027"/>
      <c r="AC1347" s="2027"/>
      <c r="AD1347" s="2027"/>
      <c r="AE1347" s="2027"/>
      <c r="AF1347" s="2027"/>
    </row>
    <row r="1348" spans="1:32" ht="14.1" customHeight="1">
      <c r="A1348" s="2027"/>
      <c r="B1348" s="2878"/>
      <c r="C1348" s="2878"/>
      <c r="D1348" s="2878"/>
      <c r="E1348" s="2824"/>
      <c r="F1348" s="2824" t="s">
        <v>5120</v>
      </c>
      <c r="G1348" s="2824"/>
      <c r="H1348" s="2824" t="s">
        <v>5121</v>
      </c>
      <c r="I1348" s="2824"/>
      <c r="J1348" s="2824" t="s">
        <v>5122</v>
      </c>
      <c r="K1348" s="2879"/>
      <c r="L1348" s="2824" t="s">
        <v>4721</v>
      </c>
      <c r="M1348" s="2824"/>
      <c r="N1348" s="2824"/>
      <c r="O1348" s="2824"/>
      <c r="P1348" s="2029"/>
      <c r="Q1348" s="2027"/>
      <c r="R1348" s="2027"/>
      <c r="S1348" s="2027"/>
      <c r="T1348" s="2027"/>
      <c r="U1348" s="2027"/>
      <c r="V1348" s="2027"/>
      <c r="W1348" s="2027"/>
      <c r="X1348" s="2027"/>
      <c r="Y1348" s="2027"/>
      <c r="Z1348" s="2027"/>
      <c r="AA1348" s="2027"/>
      <c r="AB1348" s="2027"/>
      <c r="AC1348" s="2027"/>
      <c r="AD1348" s="2027"/>
      <c r="AE1348" s="2027"/>
      <c r="AF1348" s="2027"/>
    </row>
    <row r="1349" spans="1:32" ht="15">
      <c r="A1349" s="2027"/>
      <c r="B1349" s="2878"/>
      <c r="C1349" s="2878"/>
      <c r="D1349" s="2878"/>
      <c r="E1349" s="2824"/>
      <c r="F1349" s="2824"/>
      <c r="G1349" s="2824"/>
      <c r="H1349" s="2824"/>
      <c r="I1349" s="2824"/>
      <c r="J1349" s="2879"/>
      <c r="K1349" s="2879"/>
      <c r="L1349" s="2824"/>
      <c r="M1349" s="2824"/>
      <c r="N1349" s="2824"/>
      <c r="O1349" s="2824"/>
      <c r="P1349" s="2029"/>
      <c r="Q1349" s="2027"/>
      <c r="R1349" s="2027"/>
      <c r="S1349" s="2027"/>
      <c r="T1349" s="2027"/>
      <c r="U1349" s="2027"/>
      <c r="V1349" s="2027"/>
      <c r="W1349" s="2027"/>
      <c r="X1349" s="2027"/>
      <c r="Y1349" s="2027"/>
      <c r="Z1349" s="2027"/>
      <c r="AA1349" s="2027"/>
      <c r="AB1349" s="2027"/>
      <c r="AC1349" s="2027"/>
      <c r="AD1349" s="2027"/>
      <c r="AE1349" s="2027"/>
      <c r="AF1349" s="2027"/>
    </row>
    <row r="1350" spans="1:32" ht="15">
      <c r="A1350" s="2027"/>
      <c r="B1350" s="2880" t="s">
        <v>4526</v>
      </c>
      <c r="C1350" s="2881"/>
      <c r="D1350" s="2824"/>
      <c r="E1350" s="2824"/>
      <c r="F1350" s="2824"/>
      <c r="G1350" s="2824"/>
      <c r="H1350" s="2824"/>
      <c r="I1350" s="2824"/>
      <c r="J1350" s="2879"/>
      <c r="K1350" s="2879"/>
      <c r="L1350" s="2824"/>
      <c r="M1350" s="2824"/>
      <c r="N1350" s="2824"/>
      <c r="O1350" s="2824"/>
      <c r="P1350" s="2029"/>
      <c r="Q1350" s="2027"/>
      <c r="R1350" s="2027"/>
      <c r="S1350" s="2027"/>
      <c r="T1350" s="2027"/>
      <c r="U1350" s="2027"/>
      <c r="V1350" s="2027"/>
      <c r="W1350" s="2027"/>
      <c r="X1350" s="2027"/>
      <c r="Y1350" s="2027"/>
      <c r="Z1350" s="2027"/>
      <c r="AA1350" s="2027"/>
      <c r="AB1350" s="2027"/>
      <c r="AC1350" s="2027"/>
      <c r="AD1350" s="2027"/>
      <c r="AE1350" s="2027"/>
      <c r="AF1350" s="2027"/>
    </row>
    <row r="1351" spans="1:32" ht="15">
      <c r="A1351" s="2027"/>
      <c r="B1351" s="1997" t="str">
        <f>'Part VIII Scoring Criteria'!B194</f>
        <v>Cedar Hill Elementary</v>
      </c>
      <c r="C1351" s="1997"/>
      <c r="D1351" s="1997"/>
      <c r="E1351" s="1997"/>
      <c r="F1351" s="1997">
        <f>'Part VIII Scoring Criteria'!F194</f>
        <v>0</v>
      </c>
      <c r="G1351" s="1997"/>
      <c r="H1351" s="1997">
        <f>'Part VIII Scoring Criteria'!H194</f>
        <v>0</v>
      </c>
      <c r="I1351" s="1997"/>
      <c r="J1351" s="1997" t="str">
        <f>'Part VIII Scoring Criteria'!J194</f>
        <v>Yes</v>
      </c>
      <c r="K1351" s="1997"/>
      <c r="L1351" s="1996" t="str">
        <f>'Part VIII Scoring Criteria'!L194</f>
        <v>Yes</v>
      </c>
      <c r="M1351" s="1996"/>
      <c r="N1351" s="1996"/>
      <c r="O1351" s="1996"/>
      <c r="P1351" s="2466"/>
      <c r="Q1351" s="2027"/>
      <c r="R1351" s="2027"/>
      <c r="S1351" s="2027"/>
      <c r="T1351" s="2027"/>
      <c r="U1351" s="2027"/>
      <c r="V1351" s="2027"/>
      <c r="W1351" s="2027"/>
      <c r="X1351" s="2027"/>
      <c r="Y1351" s="2027"/>
      <c r="Z1351" s="2027"/>
      <c r="AA1351" s="2027"/>
      <c r="AB1351" s="2027"/>
      <c r="AC1351" s="2027"/>
      <c r="AD1351" s="2027"/>
      <c r="AE1351" s="2027"/>
      <c r="AF1351" s="2027"/>
    </row>
    <row r="1352" spans="1:32" ht="15">
      <c r="A1352" s="2027"/>
      <c r="B1352" s="1997" t="str">
        <f>'Part VIII Scoring Criteria'!B195</f>
        <v>Richards Middle School</v>
      </c>
      <c r="C1352" s="1997"/>
      <c r="D1352" s="1997"/>
      <c r="E1352" s="1997"/>
      <c r="F1352" s="1997">
        <f>'Part VIII Scoring Criteria'!F195</f>
        <v>0</v>
      </c>
      <c r="G1352" s="1997"/>
      <c r="H1352" s="1997" t="str">
        <f>'Part VIII Scoring Criteria'!H195</f>
        <v>Yes</v>
      </c>
      <c r="I1352" s="1997"/>
      <c r="J1352" s="1997">
        <f>'Part VIII Scoring Criteria'!J195</f>
        <v>0</v>
      </c>
      <c r="K1352" s="1997"/>
      <c r="L1352" s="1996">
        <f>'Part VIII Scoring Criteria'!L195</f>
        <v>0</v>
      </c>
      <c r="M1352" s="1996"/>
      <c r="N1352" s="1996"/>
      <c r="O1352" s="1996"/>
      <c r="P1352" s="2466"/>
      <c r="Q1352" s="2027"/>
      <c r="R1352" s="2027"/>
      <c r="S1352" s="2027"/>
      <c r="T1352" s="2027"/>
      <c r="U1352" s="2027"/>
      <c r="V1352" s="2027"/>
      <c r="W1352" s="2027"/>
      <c r="X1352" s="2027"/>
      <c r="Y1352" s="2027"/>
      <c r="Z1352" s="2027"/>
      <c r="AA1352" s="2027"/>
      <c r="AB1352" s="2027"/>
      <c r="AC1352" s="2027"/>
      <c r="AD1352" s="2027"/>
      <c r="AE1352" s="2027"/>
      <c r="AF1352" s="2027"/>
    </row>
    <row r="1353" spans="1:32" ht="15">
      <c r="A1353" s="2027"/>
      <c r="B1353" s="1997" t="str">
        <f>'Part VIII Scoring Criteria'!B196</f>
        <v>Discovery High School</v>
      </c>
      <c r="C1353" s="1997"/>
      <c r="D1353" s="1997"/>
      <c r="E1353" s="1997"/>
      <c r="F1353" s="1997">
        <f>'Part VIII Scoring Criteria'!F196</f>
        <v>0</v>
      </c>
      <c r="G1353" s="1997"/>
      <c r="H1353" s="1997">
        <f>'Part VIII Scoring Criteria'!H196</f>
        <v>0</v>
      </c>
      <c r="I1353" s="1997"/>
      <c r="J1353" s="1997" t="str">
        <f>'Part VIII Scoring Criteria'!J196</f>
        <v>Yes</v>
      </c>
      <c r="K1353" s="1997"/>
      <c r="L1353" s="1996" t="str">
        <f>'Part VIII Scoring Criteria'!L196</f>
        <v>Yes</v>
      </c>
      <c r="M1353" s="1996"/>
      <c r="N1353" s="1996"/>
      <c r="O1353" s="1996"/>
      <c r="P1353" s="2466"/>
      <c r="Q1353" s="2027"/>
      <c r="R1353" s="2027"/>
      <c r="S1353" s="2027"/>
      <c r="T1353" s="2027"/>
      <c r="U1353" s="2027"/>
      <c r="V1353" s="2027"/>
      <c r="W1353" s="2027"/>
      <c r="X1353" s="2027"/>
      <c r="Y1353" s="2027"/>
      <c r="Z1353" s="2027"/>
      <c r="AA1353" s="2027"/>
      <c r="AB1353" s="2027"/>
      <c r="AC1353" s="2027"/>
      <c r="AD1353" s="2027"/>
      <c r="AE1353" s="2027"/>
      <c r="AF1353" s="2027"/>
    </row>
    <row r="1354" spans="1:32" ht="15">
      <c r="A1354" s="2027"/>
      <c r="B1354" s="1997">
        <f>'Part VIII Scoring Criteria'!B197</f>
        <v>0</v>
      </c>
      <c r="C1354" s="1997"/>
      <c r="D1354" s="1997"/>
      <c r="E1354" s="1997"/>
      <c r="F1354" s="1997">
        <f>'Part VIII Scoring Criteria'!F197</f>
        <v>0</v>
      </c>
      <c r="G1354" s="1997"/>
      <c r="H1354" s="1997">
        <f>'Part VIII Scoring Criteria'!H197</f>
        <v>0</v>
      </c>
      <c r="I1354" s="1997"/>
      <c r="J1354" s="1997">
        <f>'Part VIII Scoring Criteria'!J197</f>
        <v>0</v>
      </c>
      <c r="K1354" s="1997"/>
      <c r="L1354" s="1996">
        <f>'Part VIII Scoring Criteria'!L197</f>
        <v>0</v>
      </c>
      <c r="M1354" s="1996"/>
      <c r="N1354" s="1996"/>
      <c r="O1354" s="1996"/>
      <c r="P1354" s="2466"/>
      <c r="Q1354" s="2027"/>
      <c r="R1354" s="2027"/>
      <c r="S1354" s="2027"/>
      <c r="T1354" s="2027"/>
      <c r="U1354" s="2027"/>
      <c r="V1354" s="2027"/>
      <c r="W1354" s="2027"/>
      <c r="X1354" s="2027"/>
      <c r="Y1354" s="2027"/>
      <c r="Z1354" s="2027"/>
      <c r="AA1354" s="2027"/>
      <c r="AB1354" s="2027"/>
      <c r="AC1354" s="2027"/>
      <c r="AD1354" s="2027"/>
      <c r="AE1354" s="2027"/>
      <c r="AF1354" s="2027"/>
    </row>
    <row r="1355" spans="1:32" ht="15">
      <c r="A1355" s="2027"/>
      <c r="B1355" s="1997">
        <f>'Part VIII Scoring Criteria'!B198</f>
        <v>0</v>
      </c>
      <c r="C1355" s="1997"/>
      <c r="D1355" s="1997"/>
      <c r="E1355" s="1997"/>
      <c r="F1355" s="1997">
        <f>'Part VIII Scoring Criteria'!F198</f>
        <v>0</v>
      </c>
      <c r="G1355" s="1997"/>
      <c r="H1355" s="1997">
        <f>'Part VIII Scoring Criteria'!H198</f>
        <v>0</v>
      </c>
      <c r="I1355" s="1997"/>
      <c r="J1355" s="1997">
        <f>'Part VIII Scoring Criteria'!J198</f>
        <v>0</v>
      </c>
      <c r="K1355" s="1997"/>
      <c r="L1355" s="1996">
        <f>'Part VIII Scoring Criteria'!L198</f>
        <v>0</v>
      </c>
      <c r="M1355" s="1996"/>
      <c r="N1355" s="1996"/>
      <c r="O1355" s="1996"/>
      <c r="P1355" s="2466"/>
      <c r="Q1355" s="2027"/>
      <c r="R1355" s="2027"/>
      <c r="S1355" s="2027"/>
      <c r="T1355" s="2027"/>
      <c r="U1355" s="2027"/>
      <c r="V1355" s="2027"/>
      <c r="W1355" s="2027"/>
      <c r="X1355" s="2027"/>
      <c r="Y1355" s="2027"/>
      <c r="Z1355" s="2027"/>
      <c r="AA1355" s="2027"/>
      <c r="AB1355" s="2027"/>
      <c r="AC1355" s="2027"/>
      <c r="AD1355" s="2027"/>
      <c r="AE1355" s="2027"/>
      <c r="AF1355" s="2027"/>
    </row>
    <row r="1356" spans="1:32" ht="15">
      <c r="A1356" s="2027"/>
      <c r="B1356" s="1997">
        <f>'Part VIII Scoring Criteria'!B199</f>
        <v>0</v>
      </c>
      <c r="C1356" s="1997"/>
      <c r="D1356" s="1997"/>
      <c r="E1356" s="1997"/>
      <c r="F1356" s="1997">
        <f>'Part VIII Scoring Criteria'!F199</f>
        <v>0</v>
      </c>
      <c r="G1356" s="1997"/>
      <c r="H1356" s="1997">
        <f>'Part VIII Scoring Criteria'!H199</f>
        <v>0</v>
      </c>
      <c r="I1356" s="1997"/>
      <c r="J1356" s="1997">
        <f>'Part VIII Scoring Criteria'!J199</f>
        <v>0</v>
      </c>
      <c r="K1356" s="1997"/>
      <c r="L1356" s="1996">
        <f>'Part VIII Scoring Criteria'!L199</f>
        <v>0</v>
      </c>
      <c r="M1356" s="1996"/>
      <c r="N1356" s="1996"/>
      <c r="O1356" s="1996"/>
      <c r="P1356" s="2466"/>
      <c r="Q1356" s="2027"/>
      <c r="R1356" s="2027"/>
      <c r="S1356" s="2027"/>
      <c r="T1356" s="2027"/>
      <c r="U1356" s="2027"/>
      <c r="V1356" s="2027"/>
      <c r="W1356" s="2027"/>
      <c r="X1356" s="2027"/>
      <c r="Y1356" s="2027"/>
      <c r="Z1356" s="2027"/>
      <c r="AA1356" s="2027"/>
      <c r="AB1356" s="2027"/>
      <c r="AC1356" s="2027"/>
      <c r="AD1356" s="2027"/>
      <c r="AE1356" s="2027"/>
      <c r="AF1356" s="2027"/>
    </row>
    <row r="1357" spans="1:32" ht="15">
      <c r="A1357" s="1997"/>
      <c r="B1357" s="2806" t="s">
        <v>5113</v>
      </c>
      <c r="C1357" s="1997"/>
      <c r="D1357" s="1997"/>
      <c r="E1357" s="1997"/>
      <c r="F1357" s="1997"/>
      <c r="G1357" s="1997"/>
      <c r="H1357" s="1997"/>
      <c r="I1357" s="1997"/>
      <c r="J1357" s="1997"/>
      <c r="K1357" s="1997"/>
      <c r="L1357" s="2027"/>
      <c r="M1357" s="2011"/>
      <c r="N1357" s="2016"/>
      <c r="O1357" s="2026"/>
      <c r="P1357" s="2029"/>
      <c r="Q1357" s="2027"/>
      <c r="R1357" s="2027"/>
      <c r="S1357" s="2027"/>
      <c r="T1357" s="2027"/>
      <c r="U1357" s="2027"/>
      <c r="V1357" s="2027"/>
      <c r="W1357" s="2027"/>
      <c r="X1357" s="2027"/>
      <c r="Y1357" s="2027"/>
      <c r="Z1357" s="2027"/>
      <c r="AA1357" s="2027"/>
      <c r="AB1357" s="2027"/>
      <c r="AC1357" s="2027"/>
      <c r="AD1357" s="2027"/>
      <c r="AE1357" s="2027"/>
      <c r="AF1357" s="2027"/>
    </row>
    <row r="1358" spans="1:32" ht="15">
      <c r="A1358" s="2821" t="str">
        <f>'Part VIII Scoring Criteria'!A201</f>
        <v>Both Cedar Hill Elementary and Discovery High School are qualified under DCA Option C, Richards Middle School was Beating the Odds in 2018.</v>
      </c>
      <c r="B1358" s="2821"/>
      <c r="C1358" s="2821"/>
      <c r="D1358" s="2821"/>
      <c r="E1358" s="2821"/>
      <c r="F1358" s="2821"/>
      <c r="G1358" s="2821"/>
      <c r="H1358" s="2821"/>
      <c r="I1358" s="2821"/>
      <c r="J1358" s="2821"/>
      <c r="K1358" s="2821"/>
      <c r="L1358" s="2821"/>
      <c r="M1358" s="2821"/>
      <c r="N1358" s="2821"/>
      <c r="O1358" s="2821"/>
      <c r="P1358" s="2821"/>
      <c r="Q1358" s="1996"/>
      <c r="R1358" s="2027"/>
      <c r="S1358" s="2027"/>
      <c r="T1358" s="2027"/>
      <c r="U1358" s="2027"/>
      <c r="V1358" s="2027"/>
      <c r="W1358" s="2027"/>
      <c r="X1358" s="2027"/>
      <c r="Y1358" s="2027"/>
      <c r="Z1358" s="2027"/>
      <c r="AA1358" s="2027"/>
      <c r="AB1358" s="2027"/>
      <c r="AC1358" s="2027"/>
      <c r="AD1358" s="2027"/>
      <c r="AE1358" s="2027"/>
      <c r="AF1358" s="2027"/>
    </row>
    <row r="1359" spans="1:32" ht="15">
      <c r="A1359" s="1997"/>
      <c r="B1359" s="2821" t="s">
        <v>1725</v>
      </c>
      <c r="C1359" s="1997"/>
      <c r="D1359" s="2821"/>
      <c r="E1359" s="2034"/>
      <c r="F1359" s="2034"/>
      <c r="G1359" s="2034"/>
      <c r="H1359" s="2034"/>
      <c r="I1359" s="2034"/>
      <c r="J1359" s="2034"/>
      <c r="K1359" s="2034"/>
      <c r="L1359" s="2034"/>
      <c r="M1359" s="2034"/>
      <c r="N1359" s="2032"/>
      <c r="O1359" s="2817"/>
      <c r="P1359" s="2466"/>
      <c r="Q1359" s="2027"/>
      <c r="R1359" s="2027"/>
      <c r="S1359" s="2027"/>
      <c r="T1359" s="2027"/>
      <c r="U1359" s="2027"/>
      <c r="V1359" s="2027"/>
      <c r="W1359" s="2027"/>
      <c r="X1359" s="2027"/>
      <c r="Y1359" s="2027"/>
      <c r="Z1359" s="2027"/>
      <c r="AA1359" s="2027"/>
      <c r="AB1359" s="2027"/>
      <c r="AC1359" s="2027"/>
      <c r="AD1359" s="2027"/>
      <c r="AE1359" s="2027"/>
      <c r="AF1359" s="2027"/>
    </row>
    <row r="1360" spans="1:32" ht="15">
      <c r="A1360" s="2033"/>
      <c r="B1360" s="2033"/>
      <c r="C1360" s="2033"/>
      <c r="D1360" s="2033"/>
      <c r="E1360" s="2033"/>
      <c r="F1360" s="2033"/>
      <c r="G1360" s="2033"/>
      <c r="H1360" s="2033"/>
      <c r="I1360" s="2033"/>
      <c r="J1360" s="2033"/>
      <c r="K1360" s="2033"/>
      <c r="L1360" s="2033"/>
      <c r="M1360" s="2033"/>
      <c r="N1360" s="2033"/>
      <c r="O1360" s="2033"/>
      <c r="P1360" s="2033"/>
      <c r="Q1360" s="1996"/>
      <c r="R1360" s="2027"/>
      <c r="S1360" s="2027"/>
      <c r="T1360" s="2027"/>
      <c r="U1360" s="2028"/>
      <c r="V1360" s="2027"/>
      <c r="W1360" s="2027"/>
      <c r="X1360" s="2027"/>
      <c r="Y1360" s="2027"/>
      <c r="Z1360" s="2027"/>
      <c r="AA1360" s="2027"/>
      <c r="AB1360" s="2027"/>
      <c r="AC1360" s="2027"/>
      <c r="AD1360" s="2027"/>
      <c r="AE1360" s="2027"/>
      <c r="AF1360" s="2027"/>
    </row>
    <row r="1361" spans="1:32" ht="15">
      <c r="A1361" s="2027"/>
      <c r="B1361" s="2027"/>
      <c r="C1361" s="2027"/>
      <c r="D1361" s="2027"/>
      <c r="E1361" s="2027"/>
      <c r="F1361" s="2027"/>
      <c r="G1361" s="2027"/>
      <c r="H1361" s="2027"/>
      <c r="I1361" s="2027"/>
      <c r="J1361" s="2027"/>
      <c r="K1361" s="2027"/>
      <c r="L1361" s="2027"/>
      <c r="M1361" s="2027"/>
      <c r="N1361" s="2016"/>
      <c r="O1361" s="2029"/>
      <c r="P1361" s="2029"/>
      <c r="Q1361" s="2027"/>
      <c r="R1361" s="2027"/>
      <c r="S1361" s="2027"/>
      <c r="T1361" s="2027"/>
      <c r="U1361" s="2027"/>
      <c r="V1361" s="2027"/>
      <c r="W1361" s="2027"/>
      <c r="X1361" s="2027"/>
      <c r="Y1361" s="2027"/>
      <c r="Z1361" s="2027"/>
      <c r="AA1361" s="2027"/>
      <c r="AB1361" s="2027"/>
      <c r="AC1361" s="2027"/>
      <c r="AD1361" s="2027"/>
      <c r="AE1361" s="2027"/>
      <c r="AF1361" s="2027"/>
    </row>
    <row r="1362" spans="1:32" ht="15">
      <c r="A1362" s="2027"/>
      <c r="B1362" s="2027"/>
      <c r="C1362" s="2027"/>
      <c r="D1362" s="2027"/>
      <c r="E1362" s="2027"/>
      <c r="F1362" s="2027"/>
      <c r="G1362" s="2027"/>
      <c r="H1362" s="2027"/>
      <c r="I1362" s="2027"/>
      <c r="J1362" s="2027"/>
      <c r="K1362" s="2027"/>
      <c r="L1362" s="2027"/>
      <c r="M1362" s="2027"/>
      <c r="N1362" s="2016"/>
      <c r="O1362" s="2029"/>
      <c r="P1362" s="2029"/>
      <c r="Q1362" s="2027"/>
      <c r="R1362" s="2027"/>
      <c r="S1362" s="2027"/>
      <c r="T1362" s="2027"/>
      <c r="U1362" s="2027"/>
      <c r="V1362" s="2027"/>
      <c r="W1362" s="2027"/>
      <c r="X1362" s="2027"/>
      <c r="Y1362" s="2027"/>
      <c r="Z1362" s="2027"/>
      <c r="AA1362" s="2027"/>
      <c r="AB1362" s="2027"/>
      <c r="AC1362" s="2027"/>
      <c r="AD1362" s="2027"/>
      <c r="AE1362" s="2027"/>
      <c r="AF1362" s="2027"/>
    </row>
    <row r="1363" spans="1:32" ht="15">
      <c r="A1363" s="2461" t="s">
        <v>2488</v>
      </c>
      <c r="B1363" s="2462" t="s">
        <v>3253</v>
      </c>
      <c r="C1363" s="1997"/>
      <c r="D1363" s="2462"/>
      <c r="E1363" s="2462"/>
      <c r="F1363" s="1997"/>
      <c r="G1363" s="1997"/>
      <c r="H1363" s="1997"/>
      <c r="I1363" s="1997"/>
      <c r="J1363" s="1997"/>
      <c r="K1363" s="2840"/>
      <c r="L1363" s="2808" t="s">
        <v>4896</v>
      </c>
      <c r="M1363" s="2466">
        <v>10</v>
      </c>
      <c r="N1363" s="2011"/>
      <c r="O1363" s="2805">
        <f>'Part VIII Scoring Criteria'!O206</f>
        <v>0</v>
      </c>
      <c r="P1363" s="2805">
        <f>'Part VIII Scoring Criteria'!P206</f>
        <v>0</v>
      </c>
      <c r="Q1363" s="2466" t="s">
        <v>415</v>
      </c>
      <c r="R1363" s="2882" t="s">
        <v>4998</v>
      </c>
      <c r="S1363" s="1996"/>
      <c r="T1363" s="1996"/>
      <c r="U1363" s="1996"/>
      <c r="V1363" s="2878">
        <f>$C$16</f>
        <v>0</v>
      </c>
      <c r="W1363" s="1997"/>
      <c r="X1363" s="1997"/>
      <c r="Y1363" s="1997"/>
      <c r="Z1363" s="1997"/>
      <c r="AA1363" s="1997"/>
      <c r="AB1363" s="1997"/>
      <c r="AC1363" s="1997"/>
      <c r="AD1363" s="1997"/>
      <c r="AE1363" s="1997"/>
      <c r="AF1363" s="1997"/>
    </row>
    <row r="1364" spans="1:32" ht="15">
      <c r="A1364" s="2461"/>
      <c r="B1364" s="2462"/>
      <c r="C1364" s="1997"/>
      <c r="D1364" s="2462"/>
      <c r="E1364" s="2462"/>
      <c r="F1364" s="2030" t="s">
        <v>5020</v>
      </c>
      <c r="G1364" s="1997"/>
      <c r="H1364" s="1997"/>
      <c r="I1364" s="1997"/>
      <c r="J1364" s="1997"/>
      <c r="K1364" s="1997"/>
      <c r="L1364" s="2469"/>
      <c r="M1364" s="2466"/>
      <c r="N1364" s="2011"/>
      <c r="O1364" s="2026">
        <f>'Part VIII Scoring Criteria'!O207</f>
        <v>0</v>
      </c>
      <c r="P1364" s="2026">
        <f>'Part VIII Scoring Criteria'!P207</f>
        <v>0</v>
      </c>
      <c r="Q1364" s="2466"/>
      <c r="R1364" s="2812"/>
      <c r="S1364" s="1996"/>
      <c r="T1364" s="1996"/>
      <c r="U1364" s="1996"/>
      <c r="V1364" s="2027"/>
      <c r="W1364" s="2027"/>
      <c r="X1364" s="2027"/>
      <c r="Y1364" s="1997"/>
      <c r="Z1364" s="1997"/>
      <c r="AA1364" s="1997"/>
      <c r="AB1364" s="1997"/>
      <c r="AC1364" s="1997"/>
      <c r="AD1364" s="1997"/>
      <c r="AE1364" s="1997"/>
      <c r="AF1364" s="1997"/>
    </row>
    <row r="1365" spans="1:32" ht="15">
      <c r="A1365" s="2466"/>
      <c r="B1365" s="1997" t="s">
        <v>5123</v>
      </c>
      <c r="C1365" s="2027"/>
      <c r="D1365" s="1996"/>
      <c r="E1365" s="1996"/>
      <c r="F1365" s="1996"/>
      <c r="G1365" s="1996"/>
      <c r="H1365" s="1996"/>
      <c r="I1365" s="1996"/>
      <c r="J1365" s="1996"/>
      <c r="K1365" s="1996"/>
      <c r="L1365" s="1996"/>
      <c r="M1365" s="2027"/>
      <c r="N1365" s="2016"/>
      <c r="O1365" s="2029"/>
      <c r="P1365" s="2029"/>
      <c r="Q1365" s="2809" t="str">
        <f>IF(OR($O1370=$M1370,$O1370=0,$O1370=""),"","*CHECK!*")</f>
        <v/>
      </c>
      <c r="R1365" s="2812"/>
      <c r="S1365" s="1996"/>
      <c r="T1365" s="1996"/>
      <c r="U1365" s="1996"/>
      <c r="V1365" s="2027"/>
      <c r="W1365" s="2027"/>
      <c r="X1365" s="2027"/>
      <c r="Y1365" s="2027"/>
      <c r="Z1365" s="2027"/>
      <c r="AA1365" s="2027"/>
      <c r="AB1365" s="2027"/>
      <c r="AC1365" s="2027"/>
      <c r="AD1365" s="2027"/>
      <c r="AE1365" s="2027"/>
      <c r="AF1365" s="2027"/>
    </row>
    <row r="1366" spans="1:32" ht="14.1" customHeight="1">
      <c r="A1366" s="2029"/>
      <c r="B1366" s="2464"/>
      <c r="C1366" s="2033" t="s">
        <v>4897</v>
      </c>
      <c r="D1366" s="2033"/>
      <c r="E1366" s="2033"/>
      <c r="F1366" s="2033"/>
      <c r="G1366" s="2033"/>
      <c r="H1366" s="2033"/>
      <c r="I1366" s="2033"/>
      <c r="J1366" s="2033"/>
      <c r="K1366" s="2033"/>
      <c r="L1366" s="2818"/>
      <c r="M1366" s="2027"/>
      <c r="N1366" s="2880" t="str">
        <f>'Part VIII Scoring Criteria'!N209</f>
        <v>&lt;Page # from Plan&gt;</v>
      </c>
      <c r="O1366" s="2880"/>
      <c r="P1366" s="2880"/>
      <c r="Q1366" s="2027"/>
      <c r="R1366" s="2027"/>
      <c r="S1366" s="1996"/>
      <c r="T1366" s="1996"/>
      <c r="U1366" s="1996"/>
      <c r="V1366" s="2027"/>
      <c r="W1366" s="2027"/>
      <c r="X1366" s="2027"/>
      <c r="Y1366" s="2027"/>
      <c r="Z1366" s="2027"/>
      <c r="AA1366" s="2027"/>
      <c r="AB1366" s="2027"/>
      <c r="AC1366" s="2027"/>
      <c r="AD1366" s="2027"/>
      <c r="AE1366" s="2027"/>
      <c r="AF1366" s="2027"/>
    </row>
    <row r="1367" spans="1:32" ht="14.1" customHeight="1">
      <c r="A1367" s="2011"/>
      <c r="B1367" s="2464"/>
      <c r="C1367" s="1997" t="s">
        <v>4703</v>
      </c>
      <c r="D1367" s="1997"/>
      <c r="E1367" s="1997"/>
      <c r="F1367" s="1997"/>
      <c r="G1367" s="1997"/>
      <c r="H1367" s="1997"/>
      <c r="I1367" s="1997"/>
      <c r="J1367" s="1997"/>
      <c r="K1367" s="1997"/>
      <c r="L1367" s="2464"/>
      <c r="M1367" s="1997"/>
      <c r="N1367" s="2880" t="str">
        <f>'Part VIII Scoring Criteria'!N210</f>
        <v>&lt;Page # from Plan&gt;</v>
      </c>
      <c r="O1367" s="2880"/>
      <c r="P1367" s="2880"/>
      <c r="Q1367" s="1997"/>
      <c r="R1367" s="1997"/>
      <c r="S1367" s="1996"/>
      <c r="T1367" s="1996"/>
      <c r="U1367" s="1996"/>
      <c r="V1367" s="1997"/>
      <c r="W1367" s="1997"/>
      <c r="X1367" s="1997"/>
      <c r="Y1367" s="1997"/>
      <c r="Z1367" s="1997"/>
      <c r="AA1367" s="1997"/>
      <c r="AB1367" s="1997"/>
      <c r="AC1367" s="1997"/>
      <c r="AD1367" s="1997"/>
      <c r="AE1367" s="1997"/>
      <c r="AF1367" s="1997"/>
    </row>
    <row r="1368" spans="1:32" ht="14.45" customHeight="1">
      <c r="A1368" s="2011"/>
      <c r="B1368" s="2464"/>
      <c r="C1368" s="1997" t="s">
        <v>4898</v>
      </c>
      <c r="D1368" s="1997"/>
      <c r="E1368" s="1997"/>
      <c r="F1368" s="1997"/>
      <c r="G1368" s="1997"/>
      <c r="H1368" s="1997"/>
      <c r="I1368" s="1997"/>
      <c r="J1368" s="1997"/>
      <c r="K1368" s="1997"/>
      <c r="L1368" s="2464"/>
      <c r="M1368" s="1997"/>
      <c r="N1368" s="2880" t="str">
        <f>'Part VIII Scoring Criteria'!N211</f>
        <v>&lt;Page # from Plan&gt;</v>
      </c>
      <c r="O1368" s="2880"/>
      <c r="P1368" s="2880"/>
      <c r="Q1368" s="2011"/>
      <c r="R1368" s="1997"/>
      <c r="S1368" s="1996"/>
      <c r="T1368" s="1996"/>
      <c r="U1368" s="1996"/>
      <c r="V1368" s="2011"/>
      <c r="W1368" s="1997"/>
      <c r="X1368" s="1997"/>
      <c r="Y1368" s="1997"/>
      <c r="Z1368" s="1997"/>
      <c r="AA1368" s="1997"/>
      <c r="AB1368" s="1997"/>
      <c r="AC1368" s="1997"/>
      <c r="AD1368" s="1997"/>
      <c r="AE1368" s="1997"/>
      <c r="AF1368" s="1997"/>
    </row>
    <row r="1369" spans="1:32" ht="15">
      <c r="A1369" s="2466" t="s">
        <v>1836</v>
      </c>
      <c r="B1369" s="2812" t="s">
        <v>4075</v>
      </c>
      <c r="C1369" s="1997"/>
      <c r="D1369" s="1997"/>
      <c r="E1369" s="1997"/>
      <c r="F1369" s="1997"/>
      <c r="G1369" s="1997"/>
      <c r="H1369" s="1997"/>
      <c r="I1369" s="1997"/>
      <c r="J1369" s="1997"/>
      <c r="K1369" s="1997"/>
      <c r="L1369" s="2840" t="s">
        <v>4896</v>
      </c>
      <c r="M1369" s="2011">
        <v>6</v>
      </c>
      <c r="N1369" s="2464"/>
      <c r="O1369" s="2026">
        <f>'Part VIII Scoring Criteria'!O212</f>
        <v>0</v>
      </c>
      <c r="P1369" s="2026">
        <f>'Part VIII Scoring Criteria'!P212</f>
        <v>0</v>
      </c>
      <c r="Q1369" s="2011"/>
      <c r="R1369" s="1997"/>
      <c r="S1369" s="1996"/>
      <c r="T1369" s="1996"/>
      <c r="U1369" s="1996"/>
      <c r="V1369" s="2011"/>
      <c r="W1369" s="1997"/>
      <c r="X1369" s="1997"/>
      <c r="Y1369" s="1997"/>
      <c r="Z1369" s="1997"/>
      <c r="AA1369" s="1997"/>
      <c r="AB1369" s="1997"/>
      <c r="AC1369" s="1997"/>
      <c r="AD1369" s="1997"/>
      <c r="AE1369" s="1997"/>
      <c r="AF1369" s="1997"/>
    </row>
    <row r="1370" spans="1:32" ht="15">
      <c r="A1370" s="2029"/>
      <c r="B1370" s="2812" t="s">
        <v>4899</v>
      </c>
      <c r="C1370" s="2027"/>
      <c r="D1370" s="2033"/>
      <c r="E1370" s="2033"/>
      <c r="F1370" s="2033"/>
      <c r="G1370" s="2033"/>
      <c r="H1370" s="2033"/>
      <c r="I1370" s="2033"/>
      <c r="J1370" s="2027"/>
      <c r="K1370" s="2011"/>
      <c r="L1370" s="2810" t="str">
        <f t="shared" ref="L1370:L1371" si="426">IF(OR($O1370=$M1370,$O1370=0,$O1370=""),"","* * Check Score! * *")</f>
        <v/>
      </c>
      <c r="M1370" s="2011">
        <v>2</v>
      </c>
      <c r="N1370" s="2818"/>
      <c r="O1370" s="2026">
        <f>'Part VIII Scoring Criteria'!O213</f>
        <v>0</v>
      </c>
      <c r="P1370" s="2026"/>
      <c r="Q1370" s="2027"/>
      <c r="R1370" s="1996"/>
      <c r="S1370" s="1996"/>
      <c r="T1370" s="1996"/>
      <c r="U1370" s="1996"/>
      <c r="V1370" s="2027"/>
      <c r="W1370" s="2027"/>
      <c r="X1370" s="2027"/>
      <c r="Y1370" s="2027"/>
      <c r="Z1370" s="2027"/>
      <c r="AA1370" s="2027"/>
      <c r="AB1370" s="2027"/>
      <c r="AC1370" s="2027"/>
      <c r="AD1370" s="2027"/>
      <c r="AE1370" s="2027"/>
      <c r="AF1370" s="2027"/>
    </row>
    <row r="1371" spans="1:32" ht="15">
      <c r="A1371" s="2466"/>
      <c r="B1371" s="2027" t="s">
        <v>5124</v>
      </c>
      <c r="C1371" s="2027"/>
      <c r="D1371" s="2800"/>
      <c r="E1371" s="2800"/>
      <c r="F1371" s="2800"/>
      <c r="G1371" s="2800"/>
      <c r="H1371" s="2800"/>
      <c r="I1371" s="2800"/>
      <c r="J1371" s="2800"/>
      <c r="K1371" s="2800"/>
      <c r="L1371" s="2810" t="str">
        <f t="shared" si="426"/>
        <v/>
      </c>
      <c r="M1371" s="2011">
        <v>1</v>
      </c>
      <c r="N1371" s="2464"/>
      <c r="O1371" s="2026">
        <f>'Part VIII Scoring Criteria'!O214</f>
        <v>0</v>
      </c>
      <c r="P1371" s="2026"/>
      <c r="Q1371" s="2809" t="str">
        <f>IF(OR($O1371=$M1371,$O1371=0,$O1371=""),"","*CHECK!*")</f>
        <v/>
      </c>
      <c r="R1371" s="2812"/>
      <c r="S1371" s="2027"/>
      <c r="T1371" s="2027"/>
      <c r="U1371" s="2027"/>
      <c r="V1371" s="2027"/>
      <c r="W1371" s="2027"/>
      <c r="X1371" s="2027"/>
      <c r="Y1371" s="2027"/>
      <c r="Z1371" s="2027"/>
      <c r="AA1371" s="2027"/>
      <c r="AB1371" s="2027"/>
      <c r="AC1371" s="2027"/>
      <c r="AD1371" s="2027"/>
      <c r="AE1371" s="2027"/>
      <c r="AF1371" s="2027"/>
    </row>
    <row r="1372" spans="1:32" ht="15">
      <c r="A1372" s="2029"/>
      <c r="B1372" s="2812" t="s">
        <v>4977</v>
      </c>
      <c r="C1372" s="2027"/>
      <c r="D1372" s="2033"/>
      <c r="E1372" s="2033"/>
      <c r="F1372" s="2033"/>
      <c r="G1372" s="2033"/>
      <c r="H1372" s="2033"/>
      <c r="I1372" s="2033"/>
      <c r="J1372" s="2027"/>
      <c r="K1372" s="2011"/>
      <c r="L1372" s="2840" t="s">
        <v>4896</v>
      </c>
      <c r="M1372" s="2011">
        <v>3</v>
      </c>
      <c r="N1372" s="2027"/>
      <c r="O1372" s="2026">
        <f>'Part VIII Scoring Criteria'!O215</f>
        <v>0</v>
      </c>
      <c r="P1372" s="2026">
        <f>'Part VIII Scoring Criteria'!P215</f>
        <v>0</v>
      </c>
      <c r="Q1372" s="2027"/>
      <c r="R1372" s="1996"/>
      <c r="S1372" s="1996"/>
      <c r="T1372" s="1996"/>
      <c r="U1372" s="1996"/>
      <c r="V1372" s="2027"/>
      <c r="W1372" s="2027"/>
      <c r="X1372" s="2027"/>
      <c r="Y1372" s="2027"/>
      <c r="Z1372" s="2027"/>
      <c r="AA1372" s="2027"/>
      <c r="AB1372" s="2027"/>
      <c r="AC1372" s="2027"/>
      <c r="AD1372" s="2027"/>
      <c r="AE1372" s="2027"/>
      <c r="AF1372" s="2027"/>
    </row>
    <row r="1373" spans="1:32" ht="15">
      <c r="A1373" s="2011"/>
      <c r="B1373" s="2814"/>
      <c r="C1373" s="2034" t="s">
        <v>4978</v>
      </c>
      <c r="D1373" s="2034"/>
      <c r="E1373" s="2034"/>
      <c r="F1373" s="2034"/>
      <c r="G1373" s="2034"/>
      <c r="H1373" s="2034"/>
      <c r="I1373" s="2034"/>
      <c r="J1373" s="2034"/>
      <c r="K1373" s="2034"/>
      <c r="L1373" s="2034"/>
      <c r="M1373" s="2011">
        <v>3</v>
      </c>
      <c r="N1373" s="2032"/>
      <c r="O1373" s="2026">
        <f>'Part VIII Scoring Criteria'!O216</f>
        <v>0</v>
      </c>
      <c r="P1373" s="2026">
        <f>'Part VIII Scoring Criteria'!P216</f>
        <v>0</v>
      </c>
      <c r="Q1373" s="2027"/>
      <c r="R1373" s="2027"/>
      <c r="S1373" s="2027"/>
      <c r="T1373" s="2027"/>
      <c r="U1373" s="2027"/>
      <c r="V1373" s="2027"/>
      <c r="W1373" s="2027"/>
      <c r="X1373" s="2027"/>
      <c r="Y1373" s="2027"/>
      <c r="Z1373" s="2027"/>
      <c r="AA1373" s="2027"/>
      <c r="AB1373" s="2027"/>
      <c r="AC1373" s="2027"/>
      <c r="AD1373" s="2027"/>
      <c r="AE1373" s="2027"/>
      <c r="AF1373" s="2027"/>
    </row>
    <row r="1374" spans="1:32" ht="15">
      <c r="A1374" s="2466"/>
      <c r="B1374" s="2027"/>
      <c r="C1374" s="2808"/>
      <c r="D1374" s="2033" t="s">
        <v>4901</v>
      </c>
      <c r="E1374" s="2033"/>
      <c r="F1374" s="2033"/>
      <c r="G1374" s="2033"/>
      <c r="H1374" s="2033"/>
      <c r="I1374" s="2033"/>
      <c r="J1374" s="2033"/>
      <c r="K1374" s="2033"/>
      <c r="L1374" s="2033"/>
      <c r="M1374" s="2032"/>
      <c r="N1374" s="2818"/>
      <c r="O1374" s="2026">
        <f>'Part VIII Scoring Criteria'!O217</f>
        <v>0</v>
      </c>
      <c r="P1374" s="2026"/>
      <c r="Q1374" s="2809"/>
      <c r="R1374" s="2812"/>
      <c r="S1374" s="2027"/>
      <c r="T1374" s="2027"/>
      <c r="U1374" s="2027"/>
      <c r="V1374" s="2027"/>
      <c r="W1374" s="2027"/>
      <c r="X1374" s="2027"/>
      <c r="Y1374" s="2027"/>
      <c r="Z1374" s="2027"/>
      <c r="AA1374" s="2027"/>
      <c r="AB1374" s="2027"/>
      <c r="AC1374" s="2027"/>
      <c r="AD1374" s="2027"/>
      <c r="AE1374" s="2027"/>
      <c r="AF1374" s="2027"/>
    </row>
    <row r="1375" spans="1:32" ht="15">
      <c r="A1375" s="2466"/>
      <c r="B1375" s="2027"/>
      <c r="C1375" s="2808"/>
      <c r="D1375" s="2033" t="s">
        <v>4902</v>
      </c>
      <c r="E1375" s="2033"/>
      <c r="F1375" s="2033"/>
      <c r="G1375" s="2033"/>
      <c r="H1375" s="2033"/>
      <c r="I1375" s="2033"/>
      <c r="J1375" s="2033"/>
      <c r="K1375" s="2033"/>
      <c r="L1375" s="2033"/>
      <c r="M1375" s="2032"/>
      <c r="N1375" s="2818"/>
      <c r="O1375" s="2026">
        <f>'Part VIII Scoring Criteria'!O218</f>
        <v>0</v>
      </c>
      <c r="P1375" s="2853"/>
      <c r="Q1375" s="2809" t="str">
        <f>IF(OR($O1375=$M1375,$O1375=0,$O1375=""),"","*CHECK!*")</f>
        <v/>
      </c>
      <c r="R1375" s="2812"/>
      <c r="S1375" s="2027"/>
      <c r="T1375" s="2027"/>
      <c r="U1375" s="2027"/>
      <c r="V1375" s="2027"/>
      <c r="W1375" s="2027"/>
      <c r="X1375" s="2027"/>
      <c r="Y1375" s="2027"/>
      <c r="Z1375" s="2027"/>
      <c r="AA1375" s="2027"/>
      <c r="AB1375" s="2027"/>
      <c r="AC1375" s="2027"/>
      <c r="AD1375" s="2027"/>
      <c r="AE1375" s="2027"/>
      <c r="AF1375" s="2027"/>
    </row>
    <row r="1376" spans="1:32" ht="15">
      <c r="A1376" s="2466"/>
      <c r="B1376" s="2814"/>
      <c r="C1376" s="2808"/>
      <c r="D1376" s="2033" t="s">
        <v>4903</v>
      </c>
      <c r="E1376" s="2033"/>
      <c r="F1376" s="2033"/>
      <c r="G1376" s="2033"/>
      <c r="H1376" s="2033"/>
      <c r="I1376" s="2033"/>
      <c r="J1376" s="2033"/>
      <c r="K1376" s="2033"/>
      <c r="L1376" s="2033"/>
      <c r="M1376" s="2032"/>
      <c r="N1376" s="2818"/>
      <c r="O1376" s="2026">
        <f>'Part VIII Scoring Criteria'!O219</f>
        <v>0</v>
      </c>
      <c r="P1376" s="2853"/>
      <c r="Q1376" s="2809" t="str">
        <f>IF(OR($O1376=$M1376,$O1376=0,$O1376=""),"","*CHECK!*")</f>
        <v/>
      </c>
      <c r="R1376" s="2812"/>
      <c r="S1376" s="2027"/>
      <c r="T1376" s="2027"/>
      <c r="U1376" s="2027"/>
      <c r="V1376" s="2027"/>
      <c r="W1376" s="2027"/>
      <c r="X1376" s="2027"/>
      <c r="Y1376" s="2027"/>
      <c r="Z1376" s="2027"/>
      <c r="AA1376" s="2027"/>
      <c r="AB1376" s="2027"/>
      <c r="AC1376" s="2027"/>
      <c r="AD1376" s="2027"/>
      <c r="AE1376" s="2027"/>
      <c r="AF1376" s="2027"/>
    </row>
    <row r="1377" spans="1:32" ht="15">
      <c r="A1377" s="2011"/>
      <c r="B1377" s="2027"/>
      <c r="C1377" s="2034" t="s">
        <v>4905</v>
      </c>
      <c r="D1377" s="2027"/>
      <c r="E1377" s="2034"/>
      <c r="F1377" s="2034"/>
      <c r="G1377" s="2034"/>
      <c r="H1377" s="2034"/>
      <c r="I1377" s="2034"/>
      <c r="J1377" s="2034"/>
      <c r="K1377" s="2034"/>
      <c r="L1377" s="2810" t="str">
        <f t="shared" ref="L1377:L1378" si="427">IF(OR($O1377=$M1377,$O1377=0,$O1377=""),"","* * Check Score! * *")</f>
        <v/>
      </c>
      <c r="M1377" s="2011">
        <v>1</v>
      </c>
      <c r="N1377" s="2032"/>
      <c r="O1377" s="2026">
        <f>'Part VIII Scoring Criteria'!O220</f>
        <v>0</v>
      </c>
      <c r="P1377" s="2026"/>
      <c r="Q1377" s="2027"/>
      <c r="R1377" s="2027"/>
      <c r="S1377" s="2027"/>
      <c r="T1377" s="2027"/>
      <c r="U1377" s="2027"/>
      <c r="V1377" s="2027"/>
      <c r="W1377" s="2027"/>
      <c r="X1377" s="2027"/>
      <c r="Y1377" s="2027"/>
      <c r="Z1377" s="2027"/>
      <c r="AA1377" s="2027"/>
      <c r="AB1377" s="2027"/>
      <c r="AC1377" s="2027"/>
      <c r="AD1377" s="2027"/>
      <c r="AE1377" s="2027"/>
      <c r="AF1377" s="2027"/>
    </row>
    <row r="1378" spans="1:32" ht="15">
      <c r="A1378" s="2011"/>
      <c r="B1378" s="2027"/>
      <c r="C1378" s="2034" t="s">
        <v>5014</v>
      </c>
      <c r="D1378" s="2027"/>
      <c r="E1378" s="2034"/>
      <c r="F1378" s="2034"/>
      <c r="G1378" s="2034"/>
      <c r="H1378" s="2034"/>
      <c r="I1378" s="2034"/>
      <c r="J1378" s="2034"/>
      <c r="K1378" s="2034"/>
      <c r="L1378" s="2810" t="str">
        <f t="shared" si="427"/>
        <v/>
      </c>
      <c r="M1378" s="2011">
        <v>2</v>
      </c>
      <c r="N1378" s="2032"/>
      <c r="O1378" s="2026">
        <f>'Part VIII Scoring Criteria'!O221</f>
        <v>0</v>
      </c>
      <c r="P1378" s="2026"/>
      <c r="Q1378" s="2027"/>
      <c r="R1378" s="2027"/>
      <c r="S1378" s="2027"/>
      <c r="T1378" s="2027"/>
      <c r="U1378" s="2027"/>
      <c r="V1378" s="2027"/>
      <c r="W1378" s="2027"/>
      <c r="X1378" s="2027"/>
      <c r="Y1378" s="2027"/>
      <c r="Z1378" s="2027"/>
      <c r="AA1378" s="2027"/>
      <c r="AB1378" s="2027"/>
      <c r="AC1378" s="2027"/>
      <c r="AD1378" s="2027"/>
      <c r="AE1378" s="2027"/>
      <c r="AF1378" s="2027"/>
    </row>
    <row r="1379" spans="1:32" ht="15">
      <c r="A1379" s="2466" t="s">
        <v>1838</v>
      </c>
      <c r="B1379" s="1996" t="s">
        <v>3309</v>
      </c>
      <c r="C1379" s="2034"/>
      <c r="D1379" s="2034"/>
      <c r="E1379" s="2034"/>
      <c r="F1379" s="2034"/>
      <c r="G1379" s="2034"/>
      <c r="H1379" s="2034"/>
      <c r="I1379" s="2034"/>
      <c r="J1379" s="2034"/>
      <c r="K1379" s="2034"/>
      <c r="L1379" s="2840" t="s">
        <v>4896</v>
      </c>
      <c r="M1379" s="2466">
        <v>3</v>
      </c>
      <c r="N1379" s="2032"/>
      <c r="O1379" s="2026">
        <f>'Part VIII Scoring Criteria'!O222</f>
        <v>0</v>
      </c>
      <c r="P1379" s="2026">
        <f>'Part VIII Scoring Criteria'!P222</f>
        <v>0</v>
      </c>
      <c r="Q1379" s="2466"/>
      <c r="R1379" s="2812"/>
      <c r="S1379" s="2027"/>
      <c r="T1379" s="2027"/>
      <c r="U1379" s="2027"/>
      <c r="V1379" s="2027"/>
      <c r="W1379" s="2027"/>
      <c r="X1379" s="2027"/>
      <c r="Y1379" s="2027"/>
      <c r="Z1379" s="2027"/>
      <c r="AA1379" s="2027"/>
      <c r="AB1379" s="2027"/>
      <c r="AC1379" s="2027"/>
      <c r="AD1379" s="2027"/>
      <c r="AE1379" s="2027"/>
      <c r="AF1379" s="2027"/>
    </row>
    <row r="1380" spans="1:32" ht="15">
      <c r="A1380" s="2466"/>
      <c r="B1380" s="1997" t="s">
        <v>4979</v>
      </c>
      <c r="C1380" s="2034"/>
      <c r="D1380" s="2034"/>
      <c r="E1380" s="2034"/>
      <c r="F1380" s="2034"/>
      <c r="G1380" s="2034"/>
      <c r="H1380" s="2034"/>
      <c r="I1380" s="2034"/>
      <c r="J1380" s="2034"/>
      <c r="K1380" s="2034"/>
      <c r="L1380" s="2840"/>
      <c r="M1380" s="2466"/>
      <c r="N1380" s="2032"/>
      <c r="O1380" s="2853">
        <f>'Part VIII Scoring Criteria'!O223</f>
        <v>0</v>
      </c>
      <c r="P1380" s="2853"/>
      <c r="Q1380" s="2466"/>
      <c r="R1380" s="2812"/>
      <c r="S1380" s="2027"/>
      <c r="T1380" s="2027"/>
      <c r="U1380" s="2027"/>
      <c r="V1380" s="2027"/>
      <c r="W1380" s="2027"/>
      <c r="X1380" s="2027"/>
      <c r="Y1380" s="2027"/>
      <c r="Z1380" s="2027"/>
      <c r="AA1380" s="2027"/>
      <c r="AB1380" s="2027"/>
      <c r="AC1380" s="2027"/>
      <c r="AD1380" s="2027"/>
      <c r="AE1380" s="2027"/>
      <c r="AF1380" s="2027"/>
    </row>
    <row r="1381" spans="1:32" ht="15">
      <c r="A1381" s="2461"/>
      <c r="B1381" s="2883" t="s">
        <v>1839</v>
      </c>
      <c r="C1381" s="2034" t="s">
        <v>4906</v>
      </c>
      <c r="D1381" s="2034"/>
      <c r="E1381" s="2034"/>
      <c r="F1381" s="2034"/>
      <c r="G1381" s="2034"/>
      <c r="H1381" s="2034"/>
      <c r="I1381" s="2027"/>
      <c r="J1381" s="2027"/>
      <c r="K1381" s="2027"/>
      <c r="L1381" s="2840" t="s">
        <v>4896</v>
      </c>
      <c r="M1381" s="2011">
        <v>3</v>
      </c>
      <c r="N1381" s="2032"/>
      <c r="O1381" s="2026">
        <f>'Part VIII Scoring Criteria'!O224</f>
        <v>0</v>
      </c>
      <c r="P1381" s="2026">
        <f>'Part VIII Scoring Criteria'!P224</f>
        <v>0</v>
      </c>
      <c r="Q1381" s="2466"/>
      <c r="R1381" s="2812"/>
      <c r="S1381" s="2027"/>
      <c r="T1381" s="2027"/>
      <c r="U1381" s="2027"/>
      <c r="V1381" s="2027"/>
      <c r="W1381" s="2027"/>
      <c r="X1381" s="2027"/>
      <c r="Y1381" s="2027"/>
      <c r="Z1381" s="2027"/>
      <c r="AA1381" s="2027"/>
      <c r="AB1381" s="2027"/>
      <c r="AC1381" s="2027"/>
      <c r="AD1381" s="2027"/>
      <c r="AE1381" s="2027"/>
      <c r="AF1381" s="2027"/>
    </row>
    <row r="1382" spans="1:32" ht="15">
      <c r="A1382" s="2027"/>
      <c r="B1382" s="2814" t="s">
        <v>1958</v>
      </c>
      <c r="C1382" s="2027" t="s">
        <v>4980</v>
      </c>
      <c r="D1382" s="2027"/>
      <c r="E1382" s="2027"/>
      <c r="F1382" s="2027"/>
      <c r="G1382" s="2027"/>
      <c r="H1382" s="2027"/>
      <c r="I1382" s="2027"/>
      <c r="J1382" s="2027"/>
      <c r="K1382" s="2027"/>
      <c r="L1382" s="2810" t="str">
        <f>IF(OR($O1382=$M1382,$O1382=0,$O1382=""),"","* * Check Score! * *")</f>
        <v/>
      </c>
      <c r="M1382" s="2016">
        <v>1</v>
      </c>
      <c r="N1382" s="2016"/>
      <c r="O1382" s="2026">
        <f>'Part VIII Scoring Criteria'!O225</f>
        <v>0</v>
      </c>
      <c r="P1382" s="2026"/>
      <c r="Q1382" s="2027"/>
      <c r="R1382" s="2027"/>
      <c r="S1382" s="2027"/>
      <c r="T1382" s="2027"/>
      <c r="U1382" s="2027"/>
      <c r="V1382" s="2027"/>
      <c r="W1382" s="2027"/>
      <c r="X1382" s="2027"/>
      <c r="Y1382" s="2027"/>
      <c r="Z1382" s="2027"/>
      <c r="AA1382" s="2027"/>
      <c r="AB1382" s="2027"/>
      <c r="AC1382" s="2027"/>
      <c r="AD1382" s="2027"/>
      <c r="AE1382" s="2027"/>
      <c r="AF1382" s="2027"/>
    </row>
    <row r="1383" spans="1:32" ht="15">
      <c r="A1383" s="2027"/>
      <c r="B1383" s="2814" t="s">
        <v>1959</v>
      </c>
      <c r="C1383" s="2027" t="s">
        <v>4907</v>
      </c>
      <c r="D1383" s="2027"/>
      <c r="E1383" s="2027"/>
      <c r="F1383" s="2027"/>
      <c r="G1383" s="2027"/>
      <c r="H1383" s="2027"/>
      <c r="I1383" s="2027"/>
      <c r="J1383" s="2027"/>
      <c r="K1383" s="2027"/>
      <c r="L1383" s="2810" t="str">
        <f t="shared" ref="L1383" si="428">IF(OR($O1383=$M1383,$O1383=0,$O1383=""),"","* * Check Score! * *")</f>
        <v/>
      </c>
      <c r="M1383" s="2016">
        <v>1</v>
      </c>
      <c r="N1383" s="2016"/>
      <c r="O1383" s="2026">
        <f>'Part VIII Scoring Criteria'!O226</f>
        <v>0</v>
      </c>
      <c r="P1383" s="2026"/>
      <c r="Q1383" s="2027"/>
      <c r="R1383" s="2027"/>
      <c r="S1383" s="2027"/>
      <c r="T1383" s="2027"/>
      <c r="U1383" s="2027"/>
      <c r="V1383" s="2027"/>
      <c r="W1383" s="2027"/>
      <c r="X1383" s="2027"/>
      <c r="Y1383" s="2027"/>
      <c r="Z1383" s="2027"/>
      <c r="AA1383" s="2027"/>
      <c r="AB1383" s="2027"/>
      <c r="AC1383" s="2027"/>
      <c r="AD1383" s="2027"/>
      <c r="AE1383" s="2027"/>
      <c r="AF1383" s="2027"/>
    </row>
    <row r="1384" spans="1:32" ht="15">
      <c r="A1384" s="2027"/>
      <c r="B1384" s="2814" t="s">
        <v>1608</v>
      </c>
      <c r="C1384" s="2027" t="s">
        <v>4981</v>
      </c>
      <c r="D1384" s="2027"/>
      <c r="E1384" s="2027"/>
      <c r="F1384" s="2027"/>
      <c r="G1384" s="2027"/>
      <c r="H1384" s="2027"/>
      <c r="I1384" s="2027"/>
      <c r="J1384" s="2027"/>
      <c r="K1384" s="2027"/>
      <c r="L1384" s="2810"/>
      <c r="M1384" s="2016">
        <v>1</v>
      </c>
      <c r="N1384" s="2016"/>
      <c r="O1384" s="2026">
        <f>'Part VIII Scoring Criteria'!O227</f>
        <v>0</v>
      </c>
      <c r="P1384" s="2026"/>
      <c r="Q1384" s="2027"/>
      <c r="R1384" s="2027"/>
      <c r="S1384" s="2027"/>
      <c r="T1384" s="2027"/>
      <c r="U1384" s="2027"/>
      <c r="V1384" s="2027"/>
      <c r="W1384" s="2027"/>
      <c r="X1384" s="2027"/>
      <c r="Y1384" s="2027"/>
      <c r="Z1384" s="2027"/>
      <c r="AA1384" s="2027"/>
      <c r="AB1384" s="2027"/>
      <c r="AC1384" s="2027"/>
      <c r="AD1384" s="2027"/>
      <c r="AE1384" s="2027"/>
      <c r="AF1384" s="2027"/>
    </row>
    <row r="1385" spans="1:32" ht="15">
      <c r="A1385" s="2461"/>
      <c r="B1385" s="2813" t="s">
        <v>1841</v>
      </c>
      <c r="C1385" s="1997" t="s">
        <v>4908</v>
      </c>
      <c r="D1385" s="2840"/>
      <c r="E1385" s="2034"/>
      <c r="F1385" s="2034"/>
      <c r="G1385" s="2034"/>
      <c r="H1385" s="2034"/>
      <c r="I1385" s="2027"/>
      <c r="J1385" s="2027"/>
      <c r="K1385" s="2027"/>
      <c r="L1385" s="2027"/>
      <c r="M1385" s="2011">
        <v>2</v>
      </c>
      <c r="N1385" s="2884" t="str">
        <f>IF(OR(O$265&gt;0,O$238&gt;0),"Applicant is ineligible for points in this section!  Points claimed in Stable Communities or Community Designations.","")</f>
        <v>Applicant is ineligible for points in this section!  Points claimed in Stable Communities or Community Designations.</v>
      </c>
      <c r="O1385" s="2026">
        <f>'Part VIII Scoring Criteria'!O228</f>
        <v>0</v>
      </c>
      <c r="P1385" s="2026"/>
      <c r="Q1385" s="2466"/>
      <c r="R1385" s="1996"/>
      <c r="S1385" s="1996"/>
      <c r="T1385" s="1996"/>
      <c r="U1385" s="1996"/>
      <c r="V1385" s="2027"/>
      <c r="W1385" s="2027"/>
      <c r="X1385" s="2027"/>
      <c r="Y1385" s="2027"/>
      <c r="Z1385" s="2027"/>
      <c r="AA1385" s="2027"/>
      <c r="AB1385" s="2027"/>
      <c r="AC1385" s="2027"/>
      <c r="AD1385" s="2027"/>
      <c r="AE1385" s="2027"/>
      <c r="AF1385" s="2027"/>
    </row>
    <row r="1386" spans="1:32" ht="15">
      <c r="A1386" s="2466" t="s">
        <v>697</v>
      </c>
      <c r="B1386" s="1996" t="s">
        <v>4855</v>
      </c>
      <c r="C1386" s="2027"/>
      <c r="D1386" s="1997"/>
      <c r="E1386" s="2027"/>
      <c r="F1386" s="2885"/>
      <c r="G1386" s="2027"/>
      <c r="H1386" s="2027"/>
      <c r="I1386" s="2027"/>
      <c r="J1386" s="2027"/>
      <c r="K1386" s="2469"/>
      <c r="L1386" s="2840" t="s">
        <v>4896</v>
      </c>
      <c r="M1386" s="2466">
        <v>3</v>
      </c>
      <c r="N1386" s="2464"/>
      <c r="O1386" s="2805">
        <f>'Part VIII Scoring Criteria'!O229</f>
        <v>0</v>
      </c>
      <c r="P1386" s="2805">
        <f>'Part VIII Scoring Criteria'!P229</f>
        <v>0</v>
      </c>
      <c r="Q1386" s="2811"/>
      <c r="R1386" s="2812"/>
      <c r="S1386" s="2027"/>
      <c r="T1386" s="2027"/>
      <c r="U1386" s="2027"/>
      <c r="V1386" s="2027"/>
      <c r="W1386" s="2027"/>
      <c r="X1386" s="2027"/>
      <c r="Y1386" s="2027"/>
      <c r="Z1386" s="2027"/>
      <c r="AA1386" s="2027"/>
      <c r="AB1386" s="2027"/>
      <c r="AC1386" s="2027"/>
      <c r="AD1386" s="2027"/>
      <c r="AE1386" s="2027"/>
      <c r="AF1386" s="2027"/>
    </row>
    <row r="1387" spans="1:32" ht="15">
      <c r="A1387" s="1997"/>
      <c r="B1387" s="2883" t="s">
        <v>1839</v>
      </c>
      <c r="C1387" s="2034" t="s">
        <v>3699</v>
      </c>
      <c r="D1387" s="2034"/>
      <c r="E1387" s="2034"/>
      <c r="F1387" s="2034"/>
      <c r="G1387" s="2034"/>
      <c r="H1387" s="2034"/>
      <c r="I1387" s="2034"/>
      <c r="J1387" s="2034"/>
      <c r="K1387" s="2034"/>
      <c r="L1387" s="2840" t="s">
        <v>4896</v>
      </c>
      <c r="M1387" s="2032">
        <v>2</v>
      </c>
      <c r="N1387" s="2032"/>
      <c r="O1387" s="2805">
        <f>'Part VIII Scoring Criteria'!O230</f>
        <v>0</v>
      </c>
      <c r="P1387" s="2026"/>
      <c r="Q1387" s="2027"/>
      <c r="R1387" s="2027"/>
      <c r="S1387" s="2027"/>
      <c r="T1387" s="2027"/>
      <c r="U1387" s="2027"/>
      <c r="V1387" s="2027"/>
      <c r="W1387" s="2027"/>
      <c r="X1387" s="2027"/>
      <c r="Y1387" s="2027"/>
      <c r="Z1387" s="2027"/>
      <c r="AA1387" s="2027"/>
      <c r="AB1387" s="2027"/>
      <c r="AC1387" s="2027"/>
      <c r="AD1387" s="2027"/>
      <c r="AE1387" s="2027"/>
      <c r="AF1387" s="2027"/>
    </row>
    <row r="1388" spans="1:32" ht="15">
      <c r="A1388" s="1997"/>
      <c r="B1388" s="2813" t="s">
        <v>1841</v>
      </c>
      <c r="C1388" s="2034" t="s">
        <v>4909</v>
      </c>
      <c r="D1388" s="2034"/>
      <c r="E1388" s="2034"/>
      <c r="F1388" s="2034"/>
      <c r="G1388" s="2034"/>
      <c r="H1388" s="2034"/>
      <c r="I1388" s="2034"/>
      <c r="J1388" s="2034"/>
      <c r="K1388" s="2034"/>
      <c r="L1388" s="2034"/>
      <c r="M1388" s="2032">
        <v>1</v>
      </c>
      <c r="N1388" s="2032"/>
      <c r="O1388" s="2805">
        <f>'Part VIII Scoring Criteria'!O231</f>
        <v>0</v>
      </c>
      <c r="P1388" s="2026"/>
      <c r="Q1388" s="2027"/>
      <c r="R1388" s="2027"/>
      <c r="S1388" s="2027"/>
      <c r="T1388" s="2027"/>
      <c r="U1388" s="2027"/>
      <c r="V1388" s="2027"/>
      <c r="W1388" s="2027"/>
      <c r="X1388" s="2027"/>
      <c r="Y1388" s="2027"/>
      <c r="Z1388" s="2027"/>
      <c r="AA1388" s="2027"/>
      <c r="AB1388" s="2027"/>
      <c r="AC1388" s="2027"/>
      <c r="AD1388" s="2027"/>
      <c r="AE1388" s="2027"/>
      <c r="AF1388" s="2027"/>
    </row>
    <row r="1389" spans="1:32" ht="15">
      <c r="A1389" s="1997"/>
      <c r="B1389" s="2806" t="s">
        <v>5113</v>
      </c>
      <c r="C1389" s="1997"/>
      <c r="D1389" s="1997"/>
      <c r="E1389" s="1997"/>
      <c r="F1389" s="1997"/>
      <c r="G1389" s="1997"/>
      <c r="H1389" s="1997"/>
      <c r="I1389" s="1997"/>
      <c r="J1389" s="1997"/>
      <c r="K1389" s="1997"/>
      <c r="L1389" s="2027"/>
      <c r="M1389" s="2011"/>
      <c r="N1389" s="2016"/>
      <c r="O1389" s="2026"/>
      <c r="P1389" s="2029"/>
      <c r="Q1389" s="1997"/>
      <c r="R1389" s="1997"/>
      <c r="S1389" s="1997"/>
      <c r="T1389" s="1997"/>
      <c r="U1389" s="1997"/>
      <c r="V1389" s="1997"/>
      <c r="W1389" s="1997"/>
      <c r="X1389" s="1997"/>
      <c r="Y1389" s="1997"/>
      <c r="Z1389" s="1997"/>
      <c r="AA1389" s="1997"/>
      <c r="AB1389" s="1997"/>
      <c r="AC1389" s="1997"/>
      <c r="AD1389" s="1997"/>
      <c r="AE1389" s="1997"/>
      <c r="AF1389" s="1997"/>
    </row>
    <row r="1390" spans="1:32" ht="15">
      <c r="A1390" s="2821" t="str">
        <f>'Part VIII Scoring Criteria'!A233</f>
        <v>n/a</v>
      </c>
      <c r="B1390" s="2821"/>
      <c r="C1390" s="2821"/>
      <c r="D1390" s="2821"/>
      <c r="E1390" s="2821"/>
      <c r="F1390" s="2821"/>
      <c r="G1390" s="2821"/>
      <c r="H1390" s="2821"/>
      <c r="I1390" s="2821"/>
      <c r="J1390" s="2821"/>
      <c r="K1390" s="2821"/>
      <c r="L1390" s="2821"/>
      <c r="M1390" s="2821"/>
      <c r="N1390" s="2821"/>
      <c r="O1390" s="2821"/>
      <c r="P1390" s="2821"/>
      <c r="Q1390" s="1996"/>
      <c r="R1390" s="2027"/>
      <c r="S1390" s="2027"/>
      <c r="T1390" s="2027"/>
      <c r="U1390" s="2027"/>
      <c r="V1390" s="2027"/>
      <c r="W1390" s="2027"/>
      <c r="X1390" s="2027"/>
      <c r="Y1390" s="2027"/>
      <c r="Z1390" s="2027"/>
      <c r="AA1390" s="2027"/>
      <c r="AB1390" s="2027"/>
      <c r="AC1390" s="2027"/>
      <c r="AD1390" s="2027"/>
      <c r="AE1390" s="2027"/>
      <c r="AF1390" s="2027"/>
    </row>
    <row r="1391" spans="1:32" ht="15">
      <c r="A1391" s="1997"/>
      <c r="B1391" s="2806" t="s">
        <v>1725</v>
      </c>
      <c r="C1391" s="1997"/>
      <c r="D1391" s="2806"/>
      <c r="E1391" s="2030"/>
      <c r="F1391" s="2030"/>
      <c r="G1391" s="2030"/>
      <c r="H1391" s="2030"/>
      <c r="I1391" s="2030"/>
      <c r="J1391" s="2030"/>
      <c r="K1391" s="2030"/>
      <c r="L1391" s="2030"/>
      <c r="M1391" s="2030"/>
      <c r="N1391" s="2011"/>
      <c r="O1391" s="2466"/>
      <c r="P1391" s="2466"/>
      <c r="Q1391" s="2027"/>
      <c r="R1391" s="1997"/>
      <c r="S1391" s="1997"/>
      <c r="T1391" s="1997"/>
      <c r="U1391" s="1997"/>
      <c r="V1391" s="1997"/>
      <c r="W1391" s="1997"/>
      <c r="X1391" s="1997"/>
      <c r="Y1391" s="1997"/>
      <c r="Z1391" s="1997"/>
      <c r="AA1391" s="1997"/>
      <c r="AB1391" s="1997"/>
      <c r="AC1391" s="1997"/>
      <c r="AD1391" s="1997"/>
      <c r="AE1391" s="1997"/>
      <c r="AF1391" s="1997"/>
    </row>
    <row r="1392" spans="1:32" ht="15">
      <c r="A1392" s="2033"/>
      <c r="B1392" s="2033"/>
      <c r="C1392" s="2033"/>
      <c r="D1392" s="2033"/>
      <c r="E1392" s="2033"/>
      <c r="F1392" s="2033"/>
      <c r="G1392" s="2033"/>
      <c r="H1392" s="2033"/>
      <c r="I1392" s="2033"/>
      <c r="J1392" s="2033"/>
      <c r="K1392" s="2033"/>
      <c r="L1392" s="2033"/>
      <c r="M1392" s="2033"/>
      <c r="N1392" s="2033"/>
      <c r="O1392" s="2033"/>
      <c r="P1392" s="2033"/>
      <c r="Q1392" s="1996"/>
      <c r="R1392" s="2027"/>
      <c r="S1392" s="2027"/>
      <c r="T1392" s="2027"/>
      <c r="U1392" s="2027"/>
      <c r="V1392" s="2027"/>
      <c r="W1392" s="2027"/>
      <c r="X1392" s="2027"/>
      <c r="Y1392" s="2027"/>
      <c r="Z1392" s="2027"/>
      <c r="AA1392" s="2027"/>
      <c r="AB1392" s="2027"/>
      <c r="AC1392" s="2027"/>
      <c r="AD1392" s="2027"/>
      <c r="AE1392" s="2027"/>
      <c r="AF1392" s="2027"/>
    </row>
    <row r="1393" spans="1:32" ht="15">
      <c r="A1393" s="2027"/>
      <c r="B1393" s="2027"/>
      <c r="C1393" s="2027"/>
      <c r="D1393" s="2027"/>
      <c r="E1393" s="2027"/>
      <c r="F1393" s="2027"/>
      <c r="G1393" s="2027"/>
      <c r="H1393" s="2027"/>
      <c r="I1393" s="2027"/>
      <c r="J1393" s="2027"/>
      <c r="K1393" s="2027"/>
      <c r="L1393" s="2027"/>
      <c r="M1393" s="2027"/>
      <c r="N1393" s="2016"/>
      <c r="O1393" s="2029"/>
      <c r="P1393" s="2029"/>
      <c r="Q1393" s="2027"/>
      <c r="R1393" s="2027"/>
      <c r="S1393" s="2027"/>
      <c r="T1393" s="2027"/>
      <c r="U1393" s="2027"/>
      <c r="V1393" s="2027"/>
      <c r="W1393" s="2027"/>
      <c r="X1393" s="2027"/>
      <c r="Y1393" s="2027"/>
      <c r="Z1393" s="2027"/>
      <c r="AA1393" s="2027"/>
      <c r="AB1393" s="2027"/>
      <c r="AC1393" s="2027"/>
      <c r="AD1393" s="2027"/>
      <c r="AE1393" s="2027"/>
      <c r="AF1393" s="2027"/>
    </row>
    <row r="1394" spans="1:32" ht="15">
      <c r="A1394" s="2027"/>
      <c r="B1394" s="2027"/>
      <c r="C1394" s="2027"/>
      <c r="D1394" s="2027"/>
      <c r="E1394" s="2027"/>
      <c r="F1394" s="2027"/>
      <c r="G1394" s="2027"/>
      <c r="H1394" s="2027"/>
      <c r="I1394" s="2027"/>
      <c r="J1394" s="2027"/>
      <c r="K1394" s="2027"/>
      <c r="L1394" s="2027"/>
      <c r="M1394" s="2027"/>
      <c r="N1394" s="2016"/>
      <c r="O1394" s="2029"/>
      <c r="P1394" s="2029"/>
      <c r="Q1394" s="2027"/>
      <c r="R1394" s="2027"/>
      <c r="S1394" s="2027"/>
      <c r="T1394" s="2027"/>
      <c r="U1394" s="2027"/>
      <c r="V1394" s="2027"/>
      <c r="W1394" s="2027"/>
      <c r="X1394" s="2027"/>
      <c r="Y1394" s="2027"/>
      <c r="Z1394" s="2027"/>
      <c r="AA1394" s="2027"/>
      <c r="AB1394" s="2027"/>
      <c r="AC1394" s="2027"/>
      <c r="AD1394" s="2027"/>
      <c r="AE1394" s="2027"/>
      <c r="AF1394" s="2027"/>
    </row>
    <row r="1395" spans="1:32" ht="15">
      <c r="A1395" s="2461" t="s">
        <v>2075</v>
      </c>
      <c r="B1395" s="2462" t="s">
        <v>2490</v>
      </c>
      <c r="C1395" s="1997"/>
      <c r="D1395" s="2462"/>
      <c r="E1395" s="2462"/>
      <c r="F1395" s="2030" t="s">
        <v>424</v>
      </c>
      <c r="G1395" s="2030" t="str">
        <f>'Part I-Project Identification'!$P$26</f>
        <v>No</v>
      </c>
      <c r="H1395" s="1997"/>
      <c r="I1395" s="1997"/>
      <c r="J1395" s="1997"/>
      <c r="K1395" s="2469" t="str">
        <f>IF(OR($O$206&gt;0,$O$265&gt;0,$O$303&gt;0),"Points already claimed in another restricted section!","")</f>
        <v>Points already claimed in another restricted section!</v>
      </c>
      <c r="L1395" s="2810" t="str">
        <f>IF(OR($O1395=$M1395,$O1395=0,$O1395=""),"",IF(OR($O1395&lt;$J$251,$O1395&gt;$J$251),"* * Check Score! * *",""))</f>
        <v>* * Check Score! * *</v>
      </c>
      <c r="M1395" s="2466">
        <v>10</v>
      </c>
      <c r="N1395" s="2011"/>
      <c r="O1395" s="2026">
        <f>'Part VIII Scoring Criteria'!O238</f>
        <v>9</v>
      </c>
      <c r="P1395" s="2026">
        <f>'Part VIII Scoring Criteria'!P238</f>
        <v>0</v>
      </c>
      <c r="Q1395" s="2466" t="s">
        <v>415</v>
      </c>
      <c r="R1395" s="2882" t="s">
        <v>4998</v>
      </c>
      <c r="S1395" s="1996"/>
      <c r="T1395" s="1996"/>
      <c r="U1395" s="1996"/>
      <c r="V1395" s="2878">
        <f>$C$16</f>
        <v>0</v>
      </c>
      <c r="W1395" s="2027"/>
      <c r="X1395" s="2027"/>
      <c r="Y1395" s="1997"/>
      <c r="Z1395" s="1997"/>
      <c r="AA1395" s="1997"/>
      <c r="AB1395" s="1997"/>
      <c r="AC1395" s="1997"/>
      <c r="AD1395" s="1997"/>
      <c r="AE1395" s="1997"/>
      <c r="AF1395" s="1997"/>
    </row>
    <row r="1396" spans="1:32" ht="15">
      <c r="A1396" s="2461"/>
      <c r="B1396" s="2462"/>
      <c r="C1396" s="1997"/>
      <c r="D1396" s="2462"/>
      <c r="E1396" s="2462"/>
      <c r="F1396" s="2030" t="s">
        <v>5020</v>
      </c>
      <c r="G1396" s="1997"/>
      <c r="H1396" s="1997"/>
      <c r="I1396" s="1997"/>
      <c r="J1396" s="1997"/>
      <c r="K1396" s="1997"/>
      <c r="L1396" s="2469"/>
      <c r="M1396" s="2466"/>
      <c r="N1396" s="2011"/>
      <c r="O1396" s="2026">
        <f>'Part VIII Scoring Criteria'!O239</f>
        <v>9</v>
      </c>
      <c r="P1396" s="2026">
        <f>'Part VIII Scoring Criteria'!P239</f>
        <v>0</v>
      </c>
      <c r="Q1396" s="2466"/>
      <c r="R1396" s="2812"/>
      <c r="S1396" s="1996"/>
      <c r="T1396" s="1996"/>
      <c r="U1396" s="1996"/>
      <c r="V1396" s="2027"/>
      <c r="W1396" s="2027"/>
      <c r="X1396" s="2027"/>
      <c r="Y1396" s="1997"/>
      <c r="Z1396" s="1997"/>
      <c r="AA1396" s="1997"/>
      <c r="AB1396" s="1997"/>
      <c r="AC1396" s="1997"/>
      <c r="AD1396" s="1997"/>
      <c r="AE1396" s="1997"/>
      <c r="AF1396" s="1997"/>
    </row>
    <row r="1397" spans="1:32" ht="15">
      <c r="A1397" s="2461"/>
      <c r="B1397" s="1996" t="s">
        <v>4910</v>
      </c>
      <c r="C1397" s="1997"/>
      <c r="D1397" s="2462"/>
      <c r="E1397" s="2462"/>
      <c r="F1397" s="1997"/>
      <c r="G1397" s="1997"/>
      <c r="H1397" s="1997"/>
      <c r="I1397" s="1997"/>
      <c r="J1397" s="2466" t="s">
        <v>2880</v>
      </c>
      <c r="K1397" s="2886" t="s">
        <v>245</v>
      </c>
      <c r="L1397" s="2469"/>
      <c r="M1397" s="2466"/>
      <c r="N1397" s="2011"/>
      <c r="O1397" s="2026"/>
      <c r="P1397" s="2026"/>
      <c r="Q1397" s="2466"/>
      <c r="R1397" s="2812"/>
      <c r="S1397" s="1996"/>
      <c r="T1397" s="1996"/>
      <c r="U1397" s="1996"/>
      <c r="V1397" s="2027"/>
      <c r="W1397" s="2027"/>
      <c r="X1397" s="2027"/>
      <c r="Y1397" s="1997"/>
      <c r="Z1397" s="1997"/>
      <c r="AA1397" s="1997"/>
      <c r="AB1397" s="1997"/>
      <c r="AC1397" s="1997"/>
      <c r="AD1397" s="1997"/>
      <c r="AE1397" s="1997"/>
      <c r="AF1397" s="1997"/>
    </row>
    <row r="1398" spans="1:32" ht="15">
      <c r="A1398" s="2461"/>
      <c r="B1398" s="1997"/>
      <c r="C1398" s="2030" t="s">
        <v>4982</v>
      </c>
      <c r="D1398" s="2880"/>
      <c r="E1398" s="2462"/>
      <c r="F1398" s="1997"/>
      <c r="G1398" s="1997"/>
      <c r="H1398" s="1997"/>
      <c r="I1398" s="1997"/>
      <c r="J1398" s="2842">
        <f>'Part VIII Scoring Criteria'!J249</f>
        <v>4</v>
      </c>
      <c r="K1398" s="2842">
        <f>'Part VIII Scoring Criteria'!K249</f>
        <v>0</v>
      </c>
      <c r="L1398" s="1997"/>
      <c r="M1398" s="2842"/>
      <c r="N1398" s="2011"/>
      <c r="O1398" s="2026"/>
      <c r="P1398" s="2026"/>
      <c r="Q1398" s="2466"/>
      <c r="R1398" s="2812"/>
      <c r="S1398" s="1996"/>
      <c r="T1398" s="1996"/>
      <c r="U1398" s="1996"/>
      <c r="V1398" s="2027"/>
      <c r="W1398" s="2027"/>
      <c r="X1398" s="2027"/>
      <c r="Y1398" s="1997"/>
      <c r="Z1398" s="1997"/>
      <c r="AA1398" s="1997"/>
      <c r="AB1398" s="1997"/>
      <c r="AC1398" s="1997"/>
      <c r="AD1398" s="1997"/>
      <c r="AE1398" s="1997"/>
      <c r="AF1398" s="1997"/>
    </row>
    <row r="1399" spans="1:32" ht="15">
      <c r="A1399" s="2461"/>
      <c r="B1399" s="1997"/>
      <c r="C1399" s="2030" t="s">
        <v>5125</v>
      </c>
      <c r="D1399" s="2880"/>
      <c r="E1399" s="2462"/>
      <c r="F1399" s="1997"/>
      <c r="G1399" s="1997"/>
      <c r="H1399" s="1997"/>
      <c r="I1399" s="1997"/>
      <c r="J1399" s="2842" t="str">
        <f>'Part VIII Scoring Criteria'!J250</f>
        <v>Yes</v>
      </c>
      <c r="K1399" s="2842" t="str">
        <f>'Part VIII Scoring Criteria'!K250</f>
        <v>No</v>
      </c>
      <c r="L1399" s="1997"/>
      <c r="M1399" s="2842"/>
      <c r="N1399" s="2011"/>
      <c r="O1399" s="2026"/>
      <c r="P1399" s="2026"/>
      <c r="Q1399" s="2466"/>
      <c r="R1399" s="2812"/>
      <c r="S1399" s="1996"/>
      <c r="T1399" s="1996"/>
      <c r="U1399" s="1996"/>
      <c r="V1399" s="2027"/>
      <c r="W1399" s="2027"/>
      <c r="X1399" s="2027"/>
      <c r="Y1399" s="1997"/>
      <c r="Z1399" s="1997"/>
      <c r="AA1399" s="1997"/>
      <c r="AB1399" s="1997"/>
      <c r="AC1399" s="1997"/>
      <c r="AD1399" s="1997"/>
      <c r="AE1399" s="1997"/>
      <c r="AF1399" s="1997"/>
    </row>
    <row r="1400" spans="1:32" ht="15">
      <c r="A1400" s="2461"/>
      <c r="B1400" s="1997"/>
      <c r="C1400" s="2030" t="s">
        <v>4984</v>
      </c>
      <c r="D1400" s="2880"/>
      <c r="E1400" s="2462"/>
      <c r="F1400" s="1997"/>
      <c r="G1400" s="1997"/>
      <c r="H1400" s="1997"/>
      <c r="I1400" s="1997"/>
      <c r="J1400" s="2886">
        <f>'Part VIII Scoring Criteria'!J251</f>
        <v>9</v>
      </c>
      <c r="K1400" s="2886">
        <f>'Part VIII Scoring Criteria'!K251</f>
        <v>0</v>
      </c>
      <c r="L1400" s="2842"/>
      <c r="M1400" s="2842"/>
      <c r="N1400" s="2011"/>
      <c r="O1400" s="2026"/>
      <c r="P1400" s="2026"/>
      <c r="Q1400" s="2466"/>
      <c r="R1400" s="2812"/>
      <c r="S1400" s="1996"/>
      <c r="T1400" s="1996"/>
      <c r="U1400" s="1996"/>
      <c r="V1400" s="2027"/>
      <c r="W1400" s="2027"/>
      <c r="X1400" s="2027"/>
      <c r="Y1400" s="1997"/>
      <c r="Z1400" s="1997"/>
      <c r="AA1400" s="1997"/>
      <c r="AB1400" s="1997"/>
      <c r="AC1400" s="1997"/>
      <c r="AD1400" s="1997"/>
      <c r="AE1400" s="1997"/>
      <c r="AF1400" s="1997"/>
    </row>
    <row r="1401" spans="1:32" ht="15">
      <c r="A1401" s="2461"/>
      <c r="B1401" s="1996" t="s">
        <v>4914</v>
      </c>
      <c r="C1401" s="1997"/>
      <c r="D1401" s="2462"/>
      <c r="E1401" s="2462"/>
      <c r="F1401" s="1997"/>
      <c r="G1401" s="1997"/>
      <c r="H1401" s="1997"/>
      <c r="I1401" s="1997"/>
      <c r="J1401" s="1997"/>
      <c r="K1401" s="1997"/>
      <c r="L1401" s="1996"/>
      <c r="M1401" s="1996"/>
      <c r="N1401" s="2011"/>
      <c r="O1401" s="2026"/>
      <c r="P1401" s="2026"/>
      <c r="Q1401" s="2466"/>
      <c r="R1401" s="2812"/>
      <c r="S1401" s="1996"/>
      <c r="T1401" s="1996"/>
      <c r="U1401" s="1996"/>
      <c r="V1401" s="2027"/>
      <c r="W1401" s="2027"/>
      <c r="X1401" s="2027"/>
      <c r="Y1401" s="1997"/>
      <c r="Z1401" s="1997"/>
      <c r="AA1401" s="1997"/>
      <c r="AB1401" s="1997"/>
      <c r="AC1401" s="1997"/>
      <c r="AD1401" s="1997"/>
      <c r="AE1401" s="1997"/>
      <c r="AF1401" s="1997"/>
    </row>
    <row r="1402" spans="1:32" ht="43.5" customHeight="1">
      <c r="A1402" s="2461"/>
      <c r="B1402" s="2887" t="s">
        <v>4985</v>
      </c>
      <c r="C1402" s="2027"/>
      <c r="D1402" s="2831"/>
      <c r="E1402" s="2831" t="s">
        <v>4986</v>
      </c>
      <c r="F1402" s="2831"/>
      <c r="G1402" s="2831"/>
      <c r="H1402" s="2888" t="s">
        <v>4724</v>
      </c>
      <c r="I1402" s="2831" t="s">
        <v>5126</v>
      </c>
      <c r="J1402" s="2831"/>
      <c r="K1402" s="2831"/>
      <c r="L1402" s="2831"/>
      <c r="M1402" s="2831"/>
      <c r="N1402" s="2831"/>
      <c r="O1402" s="2831"/>
      <c r="P1402" s="2831"/>
      <c r="Q1402" s="1997"/>
      <c r="R1402" s="2812"/>
      <c r="S1402" s="1996"/>
      <c r="T1402" s="1996"/>
      <c r="U1402" s="1996"/>
      <c r="V1402" s="2027"/>
      <c r="W1402" s="2027"/>
      <c r="X1402" s="2027"/>
      <c r="Y1402" s="1997"/>
      <c r="Z1402" s="1997"/>
      <c r="AA1402" s="1997"/>
      <c r="AB1402" s="1997"/>
      <c r="AC1402" s="1997"/>
      <c r="AD1402" s="1997"/>
      <c r="AE1402" s="1997"/>
      <c r="AF1402" s="1997"/>
    </row>
    <row r="1403" spans="1:32" ht="15">
      <c r="A1403" s="2461"/>
      <c r="B1403" s="1997" t="s">
        <v>4988</v>
      </c>
      <c r="C1403" s="2027"/>
      <c r="D1403" s="2831"/>
      <c r="E1403" s="2889" t="str">
        <f>'Part VIII Scoring Criteria'!E254</f>
        <v>Above 50th</v>
      </c>
      <c r="F1403" s="2889"/>
      <c r="G1403" s="2890"/>
      <c r="H1403" s="2849"/>
      <c r="I1403" s="2889" t="str">
        <f>'Part VIII Scoring Criteria'!I254</f>
        <v>Within Census Tract</v>
      </c>
      <c r="J1403" s="2889"/>
      <c r="K1403" s="2889"/>
      <c r="L1403" s="2889"/>
      <c r="M1403" s="2889">
        <f>'Part VIII Scoring Criteria'!M254</f>
        <v>0</v>
      </c>
      <c r="N1403" s="2889"/>
      <c r="O1403" s="2889"/>
      <c r="P1403" s="2889"/>
      <c r="Q1403" s="1997"/>
      <c r="R1403" s="2812"/>
      <c r="S1403" s="1996"/>
      <c r="T1403" s="1996"/>
      <c r="U1403" s="1996"/>
      <c r="V1403" s="2027"/>
      <c r="W1403" s="2027"/>
      <c r="X1403" s="2027"/>
      <c r="Y1403" s="1997"/>
      <c r="Z1403" s="1997"/>
      <c r="AA1403" s="1997"/>
      <c r="AB1403" s="1997"/>
      <c r="AC1403" s="1997"/>
      <c r="AD1403" s="1997"/>
      <c r="AE1403" s="1997"/>
      <c r="AF1403" s="1997"/>
    </row>
    <row r="1404" spans="1:32" ht="15">
      <c r="A1404" s="2461"/>
      <c r="B1404" s="1997" t="s">
        <v>4989</v>
      </c>
      <c r="C1404" s="2027"/>
      <c r="D1404" s="2831"/>
      <c r="E1404" s="2889" t="str">
        <f>'Part VIII Scoring Criteria'!E255</f>
        <v>Above 50th</v>
      </c>
      <c r="F1404" s="2889"/>
      <c r="G1404" s="2890"/>
      <c r="H1404" s="2849"/>
      <c r="I1404" s="2889" t="str">
        <f>'Part VIII Scoring Criteria'!I255</f>
        <v>Near Census Tract</v>
      </c>
      <c r="J1404" s="2889"/>
      <c r="K1404" s="2889"/>
      <c r="L1404" s="2889"/>
      <c r="M1404" s="2889">
        <f>'Part VIII Scoring Criteria'!M255</f>
        <v>131350505.2</v>
      </c>
      <c r="N1404" s="2889"/>
      <c r="O1404" s="2889"/>
      <c r="P1404" s="2889"/>
      <c r="Q1404" s="1997"/>
      <c r="R1404" s="2812"/>
      <c r="S1404" s="1996"/>
      <c r="T1404" s="1996"/>
      <c r="U1404" s="1996"/>
      <c r="V1404" s="2027"/>
      <c r="W1404" s="2027"/>
      <c r="X1404" s="2027"/>
      <c r="Y1404" s="1997"/>
      <c r="Z1404" s="1997"/>
      <c r="AA1404" s="1997"/>
      <c r="AB1404" s="1997"/>
      <c r="AC1404" s="1997"/>
      <c r="AD1404" s="1997"/>
      <c r="AE1404" s="1997"/>
      <c r="AF1404" s="1997"/>
    </row>
    <row r="1405" spans="1:32" ht="15">
      <c r="A1405" s="2461"/>
      <c r="B1405" s="1997" t="s">
        <v>4990</v>
      </c>
      <c r="C1405" s="2027"/>
      <c r="D1405" s="2831"/>
      <c r="E1405" s="2889" t="str">
        <f>'Part VIII Scoring Criteria'!E256</f>
        <v>Above 50th</v>
      </c>
      <c r="F1405" s="2889"/>
      <c r="G1405" s="2890"/>
      <c r="H1405" s="2849"/>
      <c r="I1405" s="2889" t="str">
        <f>'Part VIII Scoring Criteria'!I256</f>
        <v>Near Census Tract</v>
      </c>
      <c r="J1405" s="2889"/>
      <c r="K1405" s="2889"/>
      <c r="L1405" s="2889"/>
      <c r="M1405" s="2889">
        <f>'Part VIII Scoring Criteria'!M256</f>
        <v>131350505.2</v>
      </c>
      <c r="N1405" s="2889"/>
      <c r="O1405" s="2889"/>
      <c r="P1405" s="2889"/>
      <c r="Q1405" s="1997"/>
      <c r="R1405" s="2812"/>
      <c r="S1405" s="1996"/>
      <c r="T1405" s="1996"/>
      <c r="U1405" s="1996"/>
      <c r="V1405" s="2027"/>
      <c r="W1405" s="2027"/>
      <c r="X1405" s="2027"/>
      <c r="Y1405" s="1997"/>
      <c r="Z1405" s="1997"/>
      <c r="AA1405" s="1997"/>
      <c r="AB1405" s="1997"/>
      <c r="AC1405" s="1997"/>
      <c r="AD1405" s="1997"/>
      <c r="AE1405" s="1997"/>
      <c r="AF1405" s="1997"/>
    </row>
    <row r="1406" spans="1:32" ht="15">
      <c r="A1406" s="2461"/>
      <c r="B1406" s="1997" t="s">
        <v>4991</v>
      </c>
      <c r="C1406" s="2462"/>
      <c r="D1406" s="2462"/>
      <c r="E1406" s="2889">
        <f>'Part VIII Scoring Criteria'!E257</f>
        <v>0</v>
      </c>
      <c r="F1406" s="2889"/>
      <c r="G1406" s="2890"/>
      <c r="H1406" s="2011">
        <f>'Part VIII Scoring Criteria'!H257</f>
        <v>0</v>
      </c>
      <c r="I1406" s="2889">
        <f>'Part VIII Scoring Criteria'!I257</f>
        <v>0</v>
      </c>
      <c r="J1406" s="2889"/>
      <c r="K1406" s="2889"/>
      <c r="L1406" s="2889"/>
      <c r="M1406" s="2889">
        <f>'Part VIII Scoring Criteria'!M257</f>
        <v>0</v>
      </c>
      <c r="N1406" s="2889"/>
      <c r="O1406" s="2889"/>
      <c r="P1406" s="2889"/>
      <c r="Q1406" s="1997"/>
      <c r="R1406" s="2812"/>
      <c r="S1406" s="1996"/>
      <c r="T1406" s="1996"/>
      <c r="U1406" s="1996"/>
      <c r="V1406" s="2027"/>
      <c r="W1406" s="2027"/>
      <c r="X1406" s="2027"/>
      <c r="Y1406" s="1997"/>
      <c r="Z1406" s="1997"/>
      <c r="AA1406" s="1997"/>
      <c r="AB1406" s="1997"/>
      <c r="AC1406" s="1997"/>
      <c r="AD1406" s="1997"/>
      <c r="AE1406" s="1997"/>
      <c r="AF1406" s="1997"/>
    </row>
    <row r="1407" spans="1:32" ht="15">
      <c r="A1407" s="2461"/>
      <c r="B1407" s="1997" t="s">
        <v>4114</v>
      </c>
      <c r="C1407" s="2462"/>
      <c r="D1407" s="2462"/>
      <c r="E1407" s="2889" t="str">
        <f>'Part VIII Scoring Criteria'!E258</f>
        <v>Above 50th</v>
      </c>
      <c r="F1407" s="2889"/>
      <c r="G1407" s="2890"/>
      <c r="H1407" s="2011">
        <f>'Part VIII Scoring Criteria'!H258</f>
        <v>2021</v>
      </c>
      <c r="I1407" s="2889" t="str">
        <f>'Part VIII Scoring Criteria'!I258</f>
        <v>Within Census Tract</v>
      </c>
      <c r="J1407" s="2889"/>
      <c r="K1407" s="2889"/>
      <c r="L1407" s="2889"/>
      <c r="M1407" s="2889">
        <f>'Part VIII Scoring Criteria'!M258</f>
        <v>0</v>
      </c>
      <c r="N1407" s="2889"/>
      <c r="O1407" s="2889"/>
      <c r="P1407" s="2889"/>
      <c r="Q1407" s="1997"/>
      <c r="R1407" s="2812"/>
      <c r="S1407" s="1996"/>
      <c r="T1407" s="1996"/>
      <c r="U1407" s="1996"/>
      <c r="V1407" s="2027"/>
      <c r="W1407" s="2027"/>
      <c r="X1407" s="2027"/>
      <c r="Y1407" s="1997"/>
      <c r="Z1407" s="1997"/>
      <c r="AA1407" s="1997"/>
      <c r="AB1407" s="1997"/>
      <c r="AC1407" s="1997"/>
      <c r="AD1407" s="1997"/>
      <c r="AE1407" s="1997"/>
      <c r="AF1407" s="1997"/>
    </row>
    <row r="1408" spans="1:32" ht="15">
      <c r="A1408" s="1997"/>
      <c r="B1408" s="2806" t="s">
        <v>5113</v>
      </c>
      <c r="C1408" s="1997"/>
      <c r="D1408" s="1997"/>
      <c r="E1408" s="1997"/>
      <c r="F1408" s="1997"/>
      <c r="G1408" s="1997"/>
      <c r="H1408" s="1997"/>
      <c r="I1408" s="1997"/>
      <c r="J1408" s="1997"/>
      <c r="K1408" s="1997"/>
      <c r="L1408" s="2027"/>
      <c r="M1408" s="2011"/>
      <c r="N1408" s="2016"/>
      <c r="O1408" s="2026"/>
      <c r="P1408" s="2029"/>
      <c r="Q1408" s="2027"/>
      <c r="R1408" s="2027"/>
      <c r="S1408" s="2027"/>
      <c r="T1408" s="2027"/>
      <c r="U1408" s="2027"/>
      <c r="V1408" s="2027"/>
      <c r="W1408" s="2027"/>
      <c r="X1408" s="2027"/>
      <c r="Y1408" s="2027"/>
      <c r="Z1408" s="2027"/>
      <c r="AA1408" s="2027"/>
      <c r="AB1408" s="2027"/>
      <c r="AC1408" s="2027"/>
      <c r="AD1408" s="2027"/>
      <c r="AE1408" s="2027"/>
      <c r="AF1408" s="2027"/>
    </row>
    <row r="1409" spans="1:32" ht="15">
      <c r="A1409" s="2821" t="str">
        <f>'Part VIII Scoring Criteria'!A260</f>
        <v>Redland Trace is located in Census Tract 13135050590 (“505.90”); the applicant is using both this tract and the adjacent tract of 13135050520 ("505.20.")</v>
      </c>
      <c r="B1409" s="2821"/>
      <c r="C1409" s="2821"/>
      <c r="D1409" s="2821"/>
      <c r="E1409" s="2821"/>
      <c r="F1409" s="2821"/>
      <c r="G1409" s="2821"/>
      <c r="H1409" s="2821"/>
      <c r="I1409" s="2821"/>
      <c r="J1409" s="2821"/>
      <c r="K1409" s="2821"/>
      <c r="L1409" s="2821"/>
      <c r="M1409" s="2821"/>
      <c r="N1409" s="2821"/>
      <c r="O1409" s="2821"/>
      <c r="P1409" s="2821"/>
      <c r="Q1409" s="1996"/>
      <c r="R1409" s="2027"/>
      <c r="S1409" s="2027"/>
      <c r="T1409" s="2027"/>
      <c r="U1409" s="2027"/>
      <c r="V1409" s="2027"/>
      <c r="W1409" s="2027"/>
      <c r="X1409" s="2027"/>
      <c r="Y1409" s="2027"/>
      <c r="Z1409" s="2027"/>
      <c r="AA1409" s="2027"/>
      <c r="AB1409" s="2027"/>
      <c r="AC1409" s="2027"/>
      <c r="AD1409" s="2027"/>
      <c r="AE1409" s="2027"/>
      <c r="AF1409" s="2027"/>
    </row>
    <row r="1410" spans="1:32" ht="15">
      <c r="A1410" s="1997"/>
      <c r="B1410" s="2821" t="s">
        <v>1725</v>
      </c>
      <c r="C1410" s="1997"/>
      <c r="D1410" s="2821"/>
      <c r="E1410" s="2034"/>
      <c r="F1410" s="2034"/>
      <c r="G1410" s="2034"/>
      <c r="H1410" s="2034"/>
      <c r="I1410" s="2034"/>
      <c r="J1410" s="2034"/>
      <c r="K1410" s="2034"/>
      <c r="L1410" s="2034"/>
      <c r="M1410" s="2034"/>
      <c r="N1410" s="2032"/>
      <c r="O1410" s="2817"/>
      <c r="P1410" s="2466"/>
      <c r="Q1410" s="2027"/>
      <c r="R1410" s="2027"/>
      <c r="S1410" s="2027"/>
      <c r="T1410" s="2027"/>
      <c r="U1410" s="2027"/>
      <c r="V1410" s="2027"/>
      <c r="W1410" s="2027"/>
      <c r="X1410" s="2027"/>
      <c r="Y1410" s="2027"/>
      <c r="Z1410" s="2027"/>
      <c r="AA1410" s="2027"/>
      <c r="AB1410" s="2027"/>
      <c r="AC1410" s="2027"/>
      <c r="AD1410" s="2027"/>
      <c r="AE1410" s="2027"/>
      <c r="AF1410" s="2027"/>
    </row>
    <row r="1411" spans="1:32" ht="15">
      <c r="A1411" s="2033"/>
      <c r="B1411" s="2033"/>
      <c r="C1411" s="2033"/>
      <c r="D1411" s="2033"/>
      <c r="E1411" s="2033"/>
      <c r="F1411" s="2033"/>
      <c r="G1411" s="2033"/>
      <c r="H1411" s="2033"/>
      <c r="I1411" s="2033"/>
      <c r="J1411" s="2033"/>
      <c r="K1411" s="2033"/>
      <c r="L1411" s="2033"/>
      <c r="M1411" s="2033"/>
      <c r="N1411" s="2033"/>
      <c r="O1411" s="2033"/>
      <c r="P1411" s="2033"/>
      <c r="Q1411" s="1996"/>
      <c r="R1411" s="2027"/>
      <c r="S1411" s="2027"/>
      <c r="T1411" s="2027"/>
      <c r="U1411" s="2027"/>
      <c r="V1411" s="2027"/>
      <c r="W1411" s="2027"/>
      <c r="X1411" s="2027"/>
      <c r="Y1411" s="2027"/>
      <c r="Z1411" s="2027"/>
      <c r="AA1411" s="2027"/>
      <c r="AB1411" s="2027"/>
      <c r="AC1411" s="2027"/>
      <c r="AD1411" s="2027"/>
      <c r="AE1411" s="2027"/>
      <c r="AF1411" s="2027"/>
    </row>
    <row r="1412" spans="1:32" ht="15">
      <c r="A1412" s="2027"/>
      <c r="B1412" s="2027"/>
      <c r="C1412" s="2027"/>
      <c r="D1412" s="2027"/>
      <c r="E1412" s="2027"/>
      <c r="F1412" s="2027"/>
      <c r="G1412" s="2027"/>
      <c r="H1412" s="2027"/>
      <c r="I1412" s="2027"/>
      <c r="J1412" s="2027"/>
      <c r="K1412" s="2027"/>
      <c r="L1412" s="2027"/>
      <c r="M1412" s="2027"/>
      <c r="N1412" s="2016"/>
      <c r="O1412" s="2029"/>
      <c r="P1412" s="2029"/>
      <c r="Q1412" s="2027"/>
      <c r="R1412" s="2027"/>
      <c r="S1412" s="2027"/>
      <c r="T1412" s="2027"/>
      <c r="U1412" s="2027"/>
      <c r="V1412" s="2027"/>
      <c r="W1412" s="2027"/>
      <c r="X1412" s="2027"/>
      <c r="Y1412" s="2027"/>
      <c r="Z1412" s="2027"/>
      <c r="AA1412" s="2027"/>
      <c r="AB1412" s="2027"/>
      <c r="AC1412" s="2027"/>
      <c r="AD1412" s="2027"/>
      <c r="AE1412" s="2027"/>
      <c r="AF1412" s="2027"/>
    </row>
    <row r="1413" spans="1:32" ht="15">
      <c r="A1413" s="2027"/>
      <c r="B1413" s="2027"/>
      <c r="C1413" s="2027"/>
      <c r="D1413" s="2027"/>
      <c r="E1413" s="2027"/>
      <c r="F1413" s="2027"/>
      <c r="G1413" s="2027"/>
      <c r="H1413" s="2027"/>
      <c r="I1413" s="2027"/>
      <c r="J1413" s="2027"/>
      <c r="K1413" s="2027"/>
      <c r="L1413" s="2027"/>
      <c r="M1413" s="2027"/>
      <c r="N1413" s="2016"/>
      <c r="O1413" s="2029"/>
      <c r="P1413" s="2029"/>
      <c r="Q1413" s="2027"/>
      <c r="R1413" s="2027"/>
      <c r="S1413" s="2027"/>
      <c r="T1413" s="2027"/>
      <c r="U1413" s="2027"/>
      <c r="V1413" s="2027"/>
      <c r="W1413" s="2027"/>
      <c r="X1413" s="2027"/>
      <c r="Y1413" s="2027"/>
      <c r="Z1413" s="2027"/>
      <c r="AA1413" s="2027"/>
      <c r="AB1413" s="2027"/>
      <c r="AC1413" s="2027"/>
      <c r="AD1413" s="2027"/>
      <c r="AE1413" s="2027"/>
      <c r="AF1413" s="2027"/>
    </row>
    <row r="1414" spans="1:32" ht="15">
      <c r="A1414" s="2461" t="s">
        <v>3283</v>
      </c>
      <c r="B1414" s="2462" t="s">
        <v>3255</v>
      </c>
      <c r="C1414" s="1997"/>
      <c r="D1414" s="2462"/>
      <c r="E1414" s="2462"/>
      <c r="F1414" s="1997"/>
      <c r="G1414" s="2822"/>
      <c r="H1414" s="1997"/>
      <c r="I1414" s="1997"/>
      <c r="J1414" s="2469" t="str">
        <f>IF(OR($O$206&gt;0,$O$238&gt;0,$O$303&gt;0),"Points already claimed in another restricted section!","")</f>
        <v>Points already claimed in another restricted section!</v>
      </c>
      <c r="K1414" s="1997"/>
      <c r="L1414" s="2891" t="str">
        <f>IF(AND(O1414&gt;0,NOT($F$12="New Affordability")), "Not New Affordability!","")</f>
        <v/>
      </c>
      <c r="M1414" s="2466">
        <v>10</v>
      </c>
      <c r="N1414" s="2011"/>
      <c r="O1414" s="2026">
        <f>'Part VIII Scoring Criteria'!O265</f>
        <v>0</v>
      </c>
      <c r="P1414" s="2026">
        <f>'Part VIII Scoring Criteria'!P265</f>
        <v>0</v>
      </c>
      <c r="Q1414" s="2466" t="s">
        <v>415</v>
      </c>
      <c r="R1414" s="2882" t="s">
        <v>4998</v>
      </c>
      <c r="S1414" s="1996"/>
      <c r="T1414" s="1996"/>
      <c r="U1414" s="1996"/>
      <c r="V1414" s="2878">
        <f>$C$16</f>
        <v>0</v>
      </c>
      <c r="W1414" s="1997"/>
      <c r="X1414" s="1997"/>
      <c r="Y1414" s="1997"/>
      <c r="Z1414" s="1997"/>
      <c r="AA1414" s="1997"/>
      <c r="AB1414" s="1997"/>
      <c r="AC1414" s="1997"/>
      <c r="AD1414" s="1997"/>
      <c r="AE1414" s="1997"/>
      <c r="AF1414" s="1997"/>
    </row>
    <row r="1415" spans="1:32" ht="15">
      <c r="A1415" s="2466" t="s">
        <v>1836</v>
      </c>
      <c r="B1415" s="2826" t="s">
        <v>3180</v>
      </c>
      <c r="C1415" s="2027"/>
      <c r="D1415" s="2034"/>
      <c r="E1415" s="2034"/>
      <c r="F1415" s="2034"/>
      <c r="G1415" s="2034"/>
      <c r="H1415" s="2034"/>
      <c r="I1415" s="2027"/>
      <c r="J1415" s="2027"/>
      <c r="K1415" s="2027"/>
      <c r="L1415" s="2034"/>
      <c r="M1415" s="1996" t="str">
        <f>IF(AND(O1415="Yes",O1416="Yes"),"Only one category can be selected!","")</f>
        <v/>
      </c>
      <c r="N1415" s="2464"/>
      <c r="O1415" s="2466">
        <f>'Part VIII Scoring Criteria'!O266</f>
        <v>0</v>
      </c>
      <c r="P1415" s="2466"/>
      <c r="Q1415" s="2016"/>
      <c r="R1415" s="1996"/>
      <c r="S1415" s="1996"/>
      <c r="T1415" s="1996"/>
      <c r="U1415" s="1996"/>
      <c r="V1415" s="1996"/>
      <c r="W1415" s="2027"/>
      <c r="X1415" s="2027"/>
      <c r="Y1415" s="2027"/>
      <c r="Z1415" s="2027"/>
      <c r="AA1415" s="2027"/>
      <c r="AB1415" s="2027"/>
      <c r="AC1415" s="2027"/>
      <c r="AD1415" s="2027"/>
      <c r="AE1415" s="2027"/>
      <c r="AF1415" s="2027"/>
    </row>
    <row r="1416" spans="1:32" ht="15">
      <c r="A1416" s="2466" t="s">
        <v>1838</v>
      </c>
      <c r="B1416" s="2826" t="s">
        <v>3181</v>
      </c>
      <c r="C1416" s="2027"/>
      <c r="D1416" s="2034"/>
      <c r="E1416" s="2027"/>
      <c r="F1416" s="2027"/>
      <c r="G1416" s="2027"/>
      <c r="H1416" s="2027"/>
      <c r="I1416" s="2027"/>
      <c r="J1416" s="2027"/>
      <c r="K1416" s="2027"/>
      <c r="L1416" s="2034"/>
      <c r="M1416" s="1996"/>
      <c r="N1416" s="2464"/>
      <c r="O1416" s="2466">
        <f>'Part VIII Scoring Criteria'!O267</f>
        <v>0</v>
      </c>
      <c r="P1416" s="2466"/>
      <c r="Q1416" s="2016"/>
      <c r="R1416" s="1996"/>
      <c r="S1416" s="1996"/>
      <c r="T1416" s="1996"/>
      <c r="U1416" s="1996"/>
      <c r="V1416" s="1996"/>
      <c r="W1416" s="2027"/>
      <c r="X1416" s="2027"/>
      <c r="Y1416" s="2027"/>
      <c r="Z1416" s="2027"/>
      <c r="AA1416" s="2027"/>
      <c r="AB1416" s="2027"/>
      <c r="AC1416" s="2027"/>
      <c r="AD1416" s="2027"/>
      <c r="AE1416" s="2027"/>
      <c r="AF1416" s="2027"/>
    </row>
    <row r="1417" spans="1:32" ht="15">
      <c r="A1417" s="1997"/>
      <c r="B1417" s="2806" t="s">
        <v>5113</v>
      </c>
      <c r="C1417" s="1997"/>
      <c r="D1417" s="1997"/>
      <c r="E1417" s="1997"/>
      <c r="F1417" s="1997"/>
      <c r="G1417" s="1997"/>
      <c r="H1417" s="1997"/>
      <c r="I1417" s="1997"/>
      <c r="J1417" s="1997"/>
      <c r="K1417" s="1997"/>
      <c r="L1417" s="2027"/>
      <c r="M1417" s="2011"/>
      <c r="N1417" s="2016"/>
      <c r="O1417" s="2026"/>
      <c r="P1417" s="2029"/>
      <c r="Q1417" s="2027"/>
      <c r="R1417" s="1996"/>
      <c r="S1417" s="1996"/>
      <c r="T1417" s="1996"/>
      <c r="U1417" s="1996"/>
      <c r="V1417" s="1996"/>
      <c r="W1417" s="2027"/>
      <c r="X1417" s="2027"/>
      <c r="Y1417" s="2027"/>
      <c r="Z1417" s="2027"/>
      <c r="AA1417" s="2027"/>
      <c r="AB1417" s="2027"/>
      <c r="AC1417" s="2027"/>
      <c r="AD1417" s="2027"/>
      <c r="AE1417" s="2027"/>
      <c r="AF1417" s="2027"/>
    </row>
    <row r="1418" spans="1:32" ht="15">
      <c r="A1418" s="2821" t="str">
        <f>'Part VIII Scoring Criteria'!A269</f>
        <v>n/a</v>
      </c>
      <c r="B1418" s="2821"/>
      <c r="C1418" s="2821"/>
      <c r="D1418" s="2821"/>
      <c r="E1418" s="2821"/>
      <c r="F1418" s="2821"/>
      <c r="G1418" s="2821"/>
      <c r="H1418" s="2821"/>
      <c r="I1418" s="2821"/>
      <c r="J1418" s="2821"/>
      <c r="K1418" s="2821"/>
      <c r="L1418" s="2821"/>
      <c r="M1418" s="2821"/>
      <c r="N1418" s="2821"/>
      <c r="O1418" s="2821"/>
      <c r="P1418" s="2821"/>
      <c r="Q1418" s="1996"/>
      <c r="R1418" s="2027"/>
      <c r="S1418" s="2027"/>
      <c r="T1418" s="2027"/>
      <c r="U1418" s="2027"/>
      <c r="V1418" s="2027"/>
      <c r="W1418" s="2027"/>
      <c r="X1418" s="2027"/>
      <c r="Y1418" s="2027"/>
      <c r="Z1418" s="2027"/>
      <c r="AA1418" s="2027"/>
      <c r="AB1418" s="2027"/>
      <c r="AC1418" s="2027"/>
      <c r="AD1418" s="2027"/>
      <c r="AE1418" s="2027"/>
      <c r="AF1418" s="2027"/>
    </row>
    <row r="1419" spans="1:32" ht="15">
      <c r="A1419" s="1997"/>
      <c r="B1419" s="2821" t="s">
        <v>1725</v>
      </c>
      <c r="C1419" s="1997"/>
      <c r="D1419" s="2821"/>
      <c r="E1419" s="2034"/>
      <c r="F1419" s="2034"/>
      <c r="G1419" s="2034"/>
      <c r="H1419" s="2034"/>
      <c r="I1419" s="2034"/>
      <c r="J1419" s="2034"/>
      <c r="K1419" s="2034"/>
      <c r="L1419" s="2034"/>
      <c r="M1419" s="2034"/>
      <c r="N1419" s="2032"/>
      <c r="O1419" s="2817"/>
      <c r="P1419" s="2466"/>
      <c r="Q1419" s="2027"/>
      <c r="R1419" s="2027"/>
      <c r="S1419" s="2027"/>
      <c r="T1419" s="2027"/>
      <c r="U1419" s="2027"/>
      <c r="V1419" s="2027"/>
      <c r="W1419" s="2027"/>
      <c r="X1419" s="2027"/>
      <c r="Y1419" s="2027"/>
      <c r="Z1419" s="2027"/>
      <c r="AA1419" s="2027"/>
      <c r="AB1419" s="2027"/>
      <c r="AC1419" s="2027"/>
      <c r="AD1419" s="2027"/>
      <c r="AE1419" s="2027"/>
      <c r="AF1419" s="2027"/>
    </row>
    <row r="1420" spans="1:32" ht="15">
      <c r="A1420" s="2033"/>
      <c r="B1420" s="2033"/>
      <c r="C1420" s="2033"/>
      <c r="D1420" s="2033"/>
      <c r="E1420" s="2033"/>
      <c r="F1420" s="2033"/>
      <c r="G1420" s="2033"/>
      <c r="H1420" s="2033"/>
      <c r="I1420" s="2033"/>
      <c r="J1420" s="2033"/>
      <c r="K1420" s="2033"/>
      <c r="L1420" s="2033"/>
      <c r="M1420" s="2033"/>
      <c r="N1420" s="2033"/>
      <c r="O1420" s="2033"/>
      <c r="P1420" s="2033"/>
      <c r="Q1420" s="1996"/>
      <c r="R1420" s="2027"/>
      <c r="S1420" s="2027"/>
      <c r="T1420" s="2027"/>
      <c r="U1420" s="2027"/>
      <c r="V1420" s="2027"/>
      <c r="W1420" s="2027"/>
      <c r="X1420" s="2027"/>
      <c r="Y1420" s="2027"/>
      <c r="Z1420" s="2027"/>
      <c r="AA1420" s="2027"/>
      <c r="AB1420" s="2027"/>
      <c r="AC1420" s="2027"/>
      <c r="AD1420" s="2027"/>
      <c r="AE1420" s="2027"/>
      <c r="AF1420" s="2027"/>
    </row>
    <row r="1421" spans="1:32" ht="15">
      <c r="A1421" s="2027"/>
      <c r="B1421" s="2027"/>
      <c r="C1421" s="2027"/>
      <c r="D1421" s="2027"/>
      <c r="E1421" s="2027"/>
      <c r="F1421" s="2027"/>
      <c r="G1421" s="2027"/>
      <c r="H1421" s="2027"/>
      <c r="I1421" s="2027"/>
      <c r="J1421" s="2027"/>
      <c r="K1421" s="2027"/>
      <c r="L1421" s="2027"/>
      <c r="M1421" s="2027"/>
      <c r="N1421" s="2016"/>
      <c r="O1421" s="2029"/>
      <c r="P1421" s="2029"/>
      <c r="Q1421" s="2027"/>
      <c r="R1421" s="2027"/>
      <c r="S1421" s="2027"/>
      <c r="T1421" s="2027"/>
      <c r="U1421" s="2027"/>
      <c r="V1421" s="2027"/>
      <c r="W1421" s="2027"/>
      <c r="X1421" s="2027"/>
      <c r="Y1421" s="2027"/>
      <c r="Z1421" s="2027"/>
      <c r="AA1421" s="2027"/>
      <c r="AB1421" s="2027"/>
      <c r="AC1421" s="2027"/>
      <c r="AD1421" s="2027"/>
      <c r="AE1421" s="2027"/>
      <c r="AF1421" s="2027"/>
    </row>
    <row r="1422" spans="1:32" ht="15">
      <c r="A1422" s="2027"/>
      <c r="B1422" s="2027"/>
      <c r="C1422" s="2027"/>
      <c r="D1422" s="2027"/>
      <c r="E1422" s="2027"/>
      <c r="F1422" s="2027"/>
      <c r="G1422" s="2027"/>
      <c r="H1422" s="2027"/>
      <c r="I1422" s="2027"/>
      <c r="J1422" s="2027"/>
      <c r="K1422" s="2027"/>
      <c r="L1422" s="2027"/>
      <c r="M1422" s="2027"/>
      <c r="N1422" s="2016"/>
      <c r="O1422" s="2029"/>
      <c r="P1422" s="2029"/>
      <c r="Q1422" s="2027"/>
      <c r="R1422" s="2027"/>
      <c r="S1422" s="2027"/>
      <c r="T1422" s="2027"/>
      <c r="U1422" s="2027"/>
      <c r="V1422" s="2027"/>
      <c r="W1422" s="2027"/>
      <c r="X1422" s="2027"/>
      <c r="Y1422" s="2027"/>
      <c r="Z1422" s="2027"/>
      <c r="AA1422" s="2027"/>
      <c r="AB1422" s="2027"/>
      <c r="AC1422" s="2027"/>
      <c r="AD1422" s="2027"/>
      <c r="AE1422" s="2027"/>
      <c r="AF1422" s="2027"/>
    </row>
    <row r="1423" spans="1:32" ht="15">
      <c r="A1423" s="2461" t="s">
        <v>3284</v>
      </c>
      <c r="B1423" s="2462" t="s">
        <v>3909</v>
      </c>
      <c r="C1423" s="2027"/>
      <c r="D1423" s="2027"/>
      <c r="E1423" s="2812" t="str">
        <f>IF(AND(O1423&gt;0,NOT($F$12="New Affordability"),NOT($O$12="9%")), "Ineligible, not New Affordability and 9%!","")</f>
        <v/>
      </c>
      <c r="F1423" s="2027"/>
      <c r="G1423" s="2824">
        <f>$O$12</f>
        <v>0</v>
      </c>
      <c r="H1423" s="2839">
        <f>$J$12</f>
        <v>0</v>
      </c>
      <c r="I1423" s="2027"/>
      <c r="J1423" s="2027"/>
      <c r="K1423" s="2027"/>
      <c r="L1423" s="2808" t="s">
        <v>4896</v>
      </c>
      <c r="M1423" s="2466">
        <v>4</v>
      </c>
      <c r="N1423" s="2011"/>
      <c r="O1423" s="2026">
        <f>'Part VIII Scoring Criteria'!O274</f>
        <v>0</v>
      </c>
      <c r="P1423" s="2026">
        <f>'Part VIII Scoring Criteria'!P274</f>
        <v>0</v>
      </c>
      <c r="Q1423" s="2466" t="s">
        <v>415</v>
      </c>
      <c r="R1423" s="2812"/>
      <c r="S1423" s="1996"/>
      <c r="T1423" s="1996"/>
      <c r="U1423" s="1996"/>
      <c r="V1423" s="1996"/>
      <c r="W1423" s="2035"/>
      <c r="X1423" s="2035"/>
      <c r="Y1423" s="2027"/>
      <c r="Z1423" s="2027"/>
      <c r="AA1423" s="2027"/>
      <c r="AB1423" s="2027"/>
      <c r="AC1423" s="2027"/>
      <c r="AD1423" s="2027"/>
      <c r="AE1423" s="2027"/>
      <c r="AF1423" s="2027"/>
    </row>
    <row r="1424" spans="1:32" ht="15">
      <c r="A1424" s="2892"/>
      <c r="B1424" s="2033" t="s">
        <v>4155</v>
      </c>
      <c r="C1424" s="2033"/>
      <c r="D1424" s="2033"/>
      <c r="E1424" s="2033"/>
      <c r="F1424" s="2033"/>
      <c r="G1424" s="2027"/>
      <c r="H1424" s="2027"/>
      <c r="I1424" s="2027"/>
      <c r="J1424" s="2027"/>
      <c r="K1424" s="2027"/>
      <c r="L1424" s="2027"/>
      <c r="M1424" s="2027"/>
      <c r="N1424" s="2818"/>
      <c r="O1424" s="2817">
        <f>'Part VIII Scoring Criteria'!O275</f>
        <v>0</v>
      </c>
      <c r="P1424" s="2817"/>
      <c r="Q1424" s="2033"/>
      <c r="R1424" s="2033"/>
      <c r="S1424" s="2033"/>
      <c r="T1424" s="2033"/>
      <c r="U1424" s="2027"/>
      <c r="V1424" s="2027"/>
      <c r="W1424" s="2033"/>
      <c r="X1424" s="2033"/>
      <c r="Y1424" s="2033"/>
      <c r="Z1424" s="2033"/>
      <c r="AA1424" s="2033"/>
      <c r="AB1424" s="2027"/>
      <c r="AC1424" s="2027"/>
      <c r="AD1424" s="2027"/>
      <c r="AE1424" s="2027"/>
      <c r="AF1424" s="2027"/>
    </row>
    <row r="1425" spans="1:32" ht="14.1" customHeight="1">
      <c r="A1425" s="2892"/>
      <c r="B1425" s="2033"/>
      <c r="C1425" s="2033"/>
      <c r="D1425" s="2033"/>
      <c r="E1425" s="2033"/>
      <c r="F1425" s="2033"/>
      <c r="G1425" s="2016" t="s">
        <v>4704</v>
      </c>
      <c r="H1425" s="2027" t="s">
        <v>573</v>
      </c>
      <c r="I1425" s="2027"/>
      <c r="J1425" s="2027"/>
      <c r="K1425" s="2027" t="s">
        <v>4742</v>
      </c>
      <c r="L1425" s="2027"/>
      <c r="M1425" s="2027"/>
      <c r="N1425" s="2016"/>
      <c r="O1425" s="2016"/>
      <c r="P1425" s="2016"/>
      <c r="Q1425" s="2033"/>
      <c r="R1425" s="2033"/>
      <c r="S1425" s="2033"/>
      <c r="T1425" s="2033"/>
      <c r="U1425" s="2027"/>
      <c r="V1425" s="2027"/>
      <c r="W1425" s="2033"/>
      <c r="X1425" s="2033"/>
      <c r="Y1425" s="2033"/>
      <c r="Z1425" s="2033"/>
      <c r="AA1425" s="2033"/>
      <c r="AB1425" s="2027"/>
      <c r="AC1425" s="2027"/>
      <c r="AD1425" s="2027"/>
      <c r="AE1425" s="2027"/>
      <c r="AF1425" s="2027"/>
    </row>
    <row r="1426" spans="1:32" ht="15">
      <c r="A1426" s="2892"/>
      <c r="B1426" s="2892"/>
      <c r="C1426" s="2027"/>
      <c r="D1426" s="2028" t="s">
        <v>4156</v>
      </c>
      <c r="E1426" s="2027"/>
      <c r="F1426" s="2027"/>
      <c r="G1426" s="2011">
        <f>'Part VIII Scoring Criteria'!G277</f>
        <v>0</v>
      </c>
      <c r="H1426" s="1997">
        <f>'Part VIII Scoring Criteria'!H277</f>
        <v>0</v>
      </c>
      <c r="I1426" s="1997"/>
      <c r="J1426" s="1997"/>
      <c r="K1426" s="2893">
        <f>'Part VIII Scoring Criteria'!K277</f>
        <v>0</v>
      </c>
      <c r="L1426" s="2893"/>
      <c r="M1426" s="2893"/>
      <c r="N1426" s="2818"/>
      <c r="O1426" s="2817"/>
      <c r="P1426" s="2817"/>
      <c r="Q1426" s="2033"/>
      <c r="R1426" s="2033"/>
      <c r="S1426" s="2033"/>
      <c r="T1426" s="2033"/>
      <c r="U1426" s="2027"/>
      <c r="V1426" s="2027"/>
      <c r="W1426" s="2033"/>
      <c r="X1426" s="2033"/>
      <c r="Y1426" s="2033"/>
      <c r="Z1426" s="2033"/>
      <c r="AA1426" s="2033"/>
      <c r="AB1426" s="2027"/>
      <c r="AC1426" s="2027"/>
      <c r="AD1426" s="2027"/>
      <c r="AE1426" s="2027"/>
      <c r="AF1426" s="2027"/>
    </row>
    <row r="1427" spans="1:32" ht="15">
      <c r="A1427" s="2829"/>
      <c r="B1427" s="2892"/>
      <c r="C1427" s="1997"/>
      <c r="D1427" s="2030" t="s">
        <v>4157</v>
      </c>
      <c r="E1427" s="1997"/>
      <c r="F1427" s="1997"/>
      <c r="G1427" s="2011">
        <f>'Part VIII Scoring Criteria'!G278</f>
        <v>0</v>
      </c>
      <c r="H1427" s="1997">
        <f>'Part VIII Scoring Criteria'!H278</f>
        <v>0</v>
      </c>
      <c r="I1427" s="1997"/>
      <c r="J1427" s="1997"/>
      <c r="K1427" s="2893">
        <f>'Part VIII Scoring Criteria'!K278</f>
        <v>0</v>
      </c>
      <c r="L1427" s="2893"/>
      <c r="M1427" s="2893"/>
      <c r="N1427" s="1997"/>
      <c r="O1427" s="1997"/>
      <c r="P1427" s="1997"/>
      <c r="Q1427" s="1997"/>
      <c r="R1427" s="1997"/>
      <c r="S1427" s="1997"/>
      <c r="T1427" s="1997"/>
      <c r="U1427" s="1997"/>
      <c r="V1427" s="1997"/>
      <c r="W1427" s="1997"/>
      <c r="X1427" s="1997"/>
      <c r="Y1427" s="1997"/>
      <c r="Z1427" s="1997"/>
      <c r="AA1427" s="1997"/>
      <c r="AB1427" s="1997"/>
      <c r="AC1427" s="1997"/>
      <c r="AD1427" s="1997"/>
      <c r="AE1427" s="1997"/>
      <c r="AF1427" s="1997"/>
    </row>
    <row r="1428" spans="1:32" ht="15">
      <c r="A1428" s="1997"/>
      <c r="B1428" s="2027"/>
      <c r="C1428" s="2027"/>
      <c r="D1428" s="1997"/>
      <c r="E1428" s="1997"/>
      <c r="F1428" s="2466"/>
      <c r="G1428" s="2466"/>
      <c r="H1428" s="2466"/>
      <c r="I1428" s="2466"/>
      <c r="J1428" s="2030"/>
      <c r="K1428" s="2030"/>
      <c r="L1428" s="2030"/>
      <c r="M1428" s="2011"/>
      <c r="N1428" s="2466"/>
      <c r="O1428" s="2029"/>
      <c r="P1428" s="2026"/>
      <c r="Q1428" s="2027"/>
      <c r="R1428" s="2027"/>
      <c r="S1428" s="2027"/>
      <c r="T1428" s="2027"/>
      <c r="U1428" s="2027"/>
      <c r="V1428" s="2027"/>
      <c r="W1428" s="2027"/>
      <c r="X1428" s="2027"/>
      <c r="Y1428" s="2027"/>
      <c r="Z1428" s="2027"/>
      <c r="AA1428" s="2027"/>
      <c r="AB1428" s="2027"/>
      <c r="AC1428" s="2027"/>
      <c r="AD1428" s="2027"/>
      <c r="AE1428" s="2027"/>
      <c r="AF1428" s="2027"/>
    </row>
    <row r="1429" spans="1:32" ht="15">
      <c r="A1429" s="1997"/>
      <c r="B1429" s="2806" t="s">
        <v>5113</v>
      </c>
      <c r="C1429" s="1997"/>
      <c r="D1429" s="1997"/>
      <c r="E1429" s="1997"/>
      <c r="F1429" s="1997"/>
      <c r="G1429" s="1997"/>
      <c r="H1429" s="1997"/>
      <c r="I1429" s="1997"/>
      <c r="J1429" s="1997"/>
      <c r="K1429" s="1997"/>
      <c r="L1429" s="2027"/>
      <c r="M1429" s="2011"/>
      <c r="N1429" s="2016"/>
      <c r="O1429" s="2026"/>
      <c r="P1429" s="2029"/>
      <c r="Q1429" s="2027"/>
      <c r="R1429" s="2027"/>
      <c r="S1429" s="2027"/>
      <c r="T1429" s="2027"/>
      <c r="U1429" s="2027"/>
      <c r="V1429" s="2027"/>
      <c r="W1429" s="2027"/>
      <c r="X1429" s="2027"/>
      <c r="Y1429" s="2027"/>
      <c r="Z1429" s="2027"/>
      <c r="AA1429" s="2027"/>
      <c r="AB1429" s="2027"/>
      <c r="AC1429" s="2027"/>
      <c r="AD1429" s="2027"/>
      <c r="AE1429" s="2027"/>
      <c r="AF1429" s="2027"/>
    </row>
    <row r="1430" spans="1:32" ht="15">
      <c r="A1430" s="2821" t="str">
        <f>'Part VIII Scoring Criteria'!A281</f>
        <v>n/a</v>
      </c>
      <c r="B1430" s="2821"/>
      <c r="C1430" s="2821"/>
      <c r="D1430" s="2821"/>
      <c r="E1430" s="2821"/>
      <c r="F1430" s="2821"/>
      <c r="G1430" s="2821"/>
      <c r="H1430" s="2821"/>
      <c r="I1430" s="2821"/>
      <c r="J1430" s="2821"/>
      <c r="K1430" s="2821"/>
      <c r="L1430" s="2821"/>
      <c r="M1430" s="2821"/>
      <c r="N1430" s="2821"/>
      <c r="O1430" s="2821"/>
      <c r="P1430" s="2821"/>
      <c r="Q1430" s="1996"/>
      <c r="R1430" s="2027"/>
      <c r="S1430" s="2027"/>
      <c r="T1430" s="2027"/>
      <c r="U1430" s="2027"/>
      <c r="V1430" s="2027"/>
      <c r="W1430" s="2027"/>
      <c r="X1430" s="2027"/>
      <c r="Y1430" s="2027"/>
      <c r="Z1430" s="2027"/>
      <c r="AA1430" s="2027"/>
      <c r="AB1430" s="2027"/>
      <c r="AC1430" s="2027"/>
      <c r="AD1430" s="2027"/>
      <c r="AE1430" s="2027"/>
      <c r="AF1430" s="2027"/>
    </row>
    <row r="1431" spans="1:32" ht="15">
      <c r="A1431" s="2027"/>
      <c r="B1431" s="2821" t="s">
        <v>1725</v>
      </c>
      <c r="C1431" s="1997"/>
      <c r="D1431" s="2821"/>
      <c r="E1431" s="2034"/>
      <c r="F1431" s="2034"/>
      <c r="G1431" s="2034"/>
      <c r="H1431" s="2034"/>
      <c r="I1431" s="2034"/>
      <c r="J1431" s="2034"/>
      <c r="K1431" s="2034"/>
      <c r="L1431" s="2034"/>
      <c r="M1431" s="2034"/>
      <c r="N1431" s="2032"/>
      <c r="O1431" s="2817"/>
      <c r="P1431" s="2466"/>
      <c r="Q1431" s="2027"/>
      <c r="R1431" s="2027"/>
      <c r="S1431" s="2027"/>
      <c r="T1431" s="2027"/>
      <c r="U1431" s="2027"/>
      <c r="V1431" s="2027"/>
      <c r="W1431" s="2027"/>
      <c r="X1431" s="2027"/>
      <c r="Y1431" s="2027"/>
      <c r="Z1431" s="2027"/>
      <c r="AA1431" s="2027"/>
      <c r="AB1431" s="2027"/>
      <c r="AC1431" s="2027"/>
      <c r="AD1431" s="2027"/>
      <c r="AE1431" s="2027"/>
      <c r="AF1431" s="2027"/>
    </row>
    <row r="1432" spans="1:32" ht="15">
      <c r="A1432" s="2033"/>
      <c r="B1432" s="2033"/>
      <c r="C1432" s="2033"/>
      <c r="D1432" s="2033"/>
      <c r="E1432" s="2033"/>
      <c r="F1432" s="2033"/>
      <c r="G1432" s="2033"/>
      <c r="H1432" s="2033"/>
      <c r="I1432" s="2033"/>
      <c r="J1432" s="2033"/>
      <c r="K1432" s="2033"/>
      <c r="L1432" s="2033"/>
      <c r="M1432" s="2033"/>
      <c r="N1432" s="2033"/>
      <c r="O1432" s="2033"/>
      <c r="P1432" s="2033"/>
      <c r="Q1432" s="1996"/>
      <c r="R1432" s="2027"/>
      <c r="S1432" s="2027"/>
      <c r="T1432" s="2027"/>
      <c r="U1432" s="2027"/>
      <c r="V1432" s="2027"/>
      <c r="W1432" s="2027"/>
      <c r="X1432" s="2027"/>
      <c r="Y1432" s="2027"/>
      <c r="Z1432" s="2027"/>
      <c r="AA1432" s="2027"/>
      <c r="AB1432" s="2027"/>
      <c r="AC1432" s="2027"/>
      <c r="AD1432" s="2027"/>
      <c r="AE1432" s="2027"/>
      <c r="AF1432" s="2027"/>
    </row>
    <row r="1433" spans="1:32" ht="15">
      <c r="A1433" s="2027"/>
      <c r="B1433" s="2027"/>
      <c r="C1433" s="2027"/>
      <c r="D1433" s="2027"/>
      <c r="E1433" s="2027"/>
      <c r="F1433" s="2027"/>
      <c r="G1433" s="2027"/>
      <c r="H1433" s="2027"/>
      <c r="I1433" s="2027"/>
      <c r="J1433" s="2027"/>
      <c r="K1433" s="2027"/>
      <c r="L1433" s="2027"/>
      <c r="M1433" s="2027"/>
      <c r="N1433" s="2016"/>
      <c r="O1433" s="2029"/>
      <c r="P1433" s="2029"/>
      <c r="Q1433" s="2027"/>
      <c r="R1433" s="2027"/>
      <c r="S1433" s="2027"/>
      <c r="T1433" s="2027"/>
      <c r="U1433" s="2027"/>
      <c r="V1433" s="2027"/>
      <c r="W1433" s="2027"/>
      <c r="X1433" s="2027"/>
      <c r="Y1433" s="2027"/>
      <c r="Z1433" s="2027"/>
      <c r="AA1433" s="2027"/>
      <c r="AB1433" s="2027"/>
      <c r="AC1433" s="2027"/>
      <c r="AD1433" s="2027"/>
      <c r="AE1433" s="2027"/>
      <c r="AF1433" s="2027"/>
    </row>
    <row r="1434" spans="1:32" ht="15">
      <c r="A1434" s="2027"/>
      <c r="B1434" s="2027"/>
      <c r="C1434" s="2027"/>
      <c r="D1434" s="2027"/>
      <c r="E1434" s="2027"/>
      <c r="F1434" s="2027"/>
      <c r="G1434" s="2027"/>
      <c r="H1434" s="2027"/>
      <c r="I1434" s="2027"/>
      <c r="J1434" s="2027"/>
      <c r="K1434" s="2027"/>
      <c r="L1434" s="2027"/>
      <c r="M1434" s="2027"/>
      <c r="N1434" s="2016"/>
      <c r="O1434" s="2029"/>
      <c r="P1434" s="2029"/>
      <c r="Q1434" s="2027"/>
      <c r="R1434" s="2027"/>
      <c r="S1434" s="2027"/>
      <c r="T1434" s="2027"/>
      <c r="U1434" s="2027"/>
      <c r="V1434" s="2027"/>
      <c r="W1434" s="2027"/>
      <c r="X1434" s="2027"/>
      <c r="Y1434" s="2027"/>
      <c r="Z1434" s="2027"/>
      <c r="AA1434" s="2027"/>
      <c r="AB1434" s="2027"/>
      <c r="AC1434" s="2027"/>
      <c r="AD1434" s="2027"/>
      <c r="AE1434" s="2027"/>
      <c r="AF1434" s="2027"/>
    </row>
    <row r="1435" spans="1:32" ht="15">
      <c r="A1435" s="2461" t="s">
        <v>3282</v>
      </c>
      <c r="B1435" s="2462" t="s">
        <v>3837</v>
      </c>
      <c r="C1435" s="2027"/>
      <c r="D1435" s="2027"/>
      <c r="E1435" s="2027"/>
      <c r="F1435" s="2027"/>
      <c r="G1435" s="2809"/>
      <c r="H1435" s="2027"/>
      <c r="I1435" s="2469" t="str">
        <f>IF($O$274&gt;0,"Points already claimed in another restricted section!","")</f>
        <v/>
      </c>
      <c r="J1435" s="2027"/>
      <c r="K1435" s="2891" t="str">
        <f>IF(AND(SUM(O1437,O1440,O1443)&gt;0,NOT($F$12="New Affordability"),NOT($O$12="9%")), "Not 9% New Affordability!","")</f>
        <v>Not 9% New Affordability!</v>
      </c>
      <c r="L1435" s="2808" t="s">
        <v>4896</v>
      </c>
      <c r="M1435" s="2466">
        <v>5</v>
      </c>
      <c r="N1435" s="2011"/>
      <c r="O1435" s="2026">
        <f>'Part VIII Scoring Criteria'!O286</f>
        <v>3</v>
      </c>
      <c r="P1435" s="2026">
        <f>'Part VIII Scoring Criteria'!P286</f>
        <v>0</v>
      </c>
      <c r="Q1435" s="2466" t="s">
        <v>415</v>
      </c>
      <c r="R1435" s="2812"/>
      <c r="S1435" s="1996"/>
      <c r="T1435" s="1996"/>
      <c r="U1435" s="1996"/>
      <c r="V1435" s="1996"/>
      <c r="W1435" s="2035"/>
      <c r="X1435" s="2035"/>
      <c r="Y1435" s="2027"/>
      <c r="Z1435" s="2027"/>
      <c r="AA1435" s="2027"/>
      <c r="AB1435" s="2027"/>
      <c r="AC1435" s="2027"/>
      <c r="AD1435" s="2027"/>
      <c r="AE1435" s="2027"/>
      <c r="AF1435" s="2027"/>
    </row>
    <row r="1436" spans="1:32" ht="15">
      <c r="A1436" s="2027"/>
      <c r="B1436" s="2027" t="s">
        <v>4918</v>
      </c>
      <c r="C1436" s="2027"/>
      <c r="D1436" s="2027"/>
      <c r="E1436" s="2027"/>
      <c r="F1436" s="2027"/>
      <c r="G1436" s="2027"/>
      <c r="H1436" s="2027"/>
      <c r="I1436" s="2027"/>
      <c r="J1436" s="2027"/>
      <c r="K1436" s="2027"/>
      <c r="L1436" s="2027"/>
      <c r="M1436" s="2027"/>
      <c r="N1436" s="2016"/>
      <c r="O1436" s="2029"/>
      <c r="P1436" s="2029"/>
      <c r="Q1436" s="2027"/>
      <c r="R1436" s="2027"/>
      <c r="S1436" s="2027"/>
      <c r="T1436" s="2027"/>
      <c r="U1436" s="2027"/>
      <c r="V1436" s="2027"/>
      <c r="W1436" s="2027"/>
      <c r="X1436" s="2027"/>
      <c r="Y1436" s="2027"/>
      <c r="Z1436" s="2027"/>
      <c r="AA1436" s="2027"/>
      <c r="AB1436" s="2027"/>
      <c r="AC1436" s="2027"/>
      <c r="AD1436" s="2027"/>
      <c r="AE1436" s="2027"/>
      <c r="AF1436" s="2027"/>
    </row>
    <row r="1437" spans="1:32" ht="15">
      <c r="A1437" s="2466" t="s">
        <v>1836</v>
      </c>
      <c r="B1437" s="1996" t="s">
        <v>4919</v>
      </c>
      <c r="C1437" s="1997"/>
      <c r="D1437" s="1997"/>
      <c r="E1437" s="1997"/>
      <c r="F1437" s="1997"/>
      <c r="G1437" s="1997"/>
      <c r="H1437" s="1997"/>
      <c r="I1437" s="1997"/>
      <c r="J1437" s="1997"/>
      <c r="K1437" s="1997"/>
      <c r="L1437" s="2840" t="s">
        <v>4896</v>
      </c>
      <c r="M1437" s="2011">
        <v>5</v>
      </c>
      <c r="N1437" s="2464"/>
      <c r="O1437" s="2026">
        <f>'Part VIII Scoring Criteria'!O288</f>
        <v>0</v>
      </c>
      <c r="P1437" s="2026"/>
      <c r="Q1437" s="2811" t="str">
        <f>IF(OR($O1437&lt;=$M1437,$O1437=""),"","*CHECK!*")</f>
        <v/>
      </c>
      <c r="R1437" s="2812"/>
      <c r="S1437" s="1996"/>
      <c r="T1437" s="1996"/>
      <c r="U1437" s="1996"/>
      <c r="V1437" s="1996"/>
      <c r="W1437" s="1997"/>
      <c r="X1437" s="1997"/>
      <c r="Y1437" s="1997"/>
      <c r="Z1437" s="1997"/>
      <c r="AA1437" s="1997"/>
      <c r="AB1437" s="1997"/>
      <c r="AC1437" s="1997"/>
      <c r="AD1437" s="1997"/>
      <c r="AE1437" s="1997"/>
      <c r="AF1437" s="1997"/>
    </row>
    <row r="1438" spans="1:32" ht="15">
      <c r="A1438" s="2027"/>
      <c r="B1438" s="2027"/>
      <c r="C1438" s="2027" t="s">
        <v>4992</v>
      </c>
      <c r="D1438" s="2027"/>
      <c r="E1438" s="2027"/>
      <c r="F1438" s="2027"/>
      <c r="G1438" s="2027"/>
      <c r="H1438" s="2027"/>
      <c r="I1438" s="2027"/>
      <c r="J1438" s="2027"/>
      <c r="K1438" s="2027"/>
      <c r="L1438" s="2027"/>
      <c r="M1438" s="2027"/>
      <c r="N1438" s="2016"/>
      <c r="O1438" s="2026">
        <f>'Part VIII Scoring Criteria'!O289</f>
        <v>0</v>
      </c>
      <c r="P1438" s="2026"/>
      <c r="Q1438" s="2027"/>
      <c r="R1438" s="2027"/>
      <c r="S1438" s="2027"/>
      <c r="T1438" s="2027"/>
      <c r="U1438" s="2027"/>
      <c r="V1438" s="2027"/>
      <c r="W1438" s="2027"/>
      <c r="X1438" s="2027"/>
      <c r="Y1438" s="2027"/>
      <c r="Z1438" s="2027"/>
      <c r="AA1438" s="2027"/>
      <c r="AB1438" s="2027"/>
      <c r="AC1438" s="2027"/>
      <c r="AD1438" s="2027"/>
      <c r="AE1438" s="2027"/>
      <c r="AF1438" s="2027"/>
    </row>
    <row r="1439" spans="1:32" ht="15">
      <c r="A1439" s="2027"/>
      <c r="B1439" s="2027"/>
      <c r="C1439" s="2027" t="s">
        <v>4993</v>
      </c>
      <c r="D1439" s="2027"/>
      <c r="E1439" s="2027"/>
      <c r="F1439" s="2027"/>
      <c r="G1439" s="2027"/>
      <c r="H1439" s="2027"/>
      <c r="I1439" s="2027"/>
      <c r="J1439" s="2027"/>
      <c r="K1439" s="2027"/>
      <c r="L1439" s="2027"/>
      <c r="M1439" s="2027"/>
      <c r="N1439" s="2016"/>
      <c r="O1439" s="2026">
        <f>'Part VIII Scoring Criteria'!O290</f>
        <v>0</v>
      </c>
      <c r="P1439" s="2026"/>
      <c r="Q1439" s="2027"/>
      <c r="R1439" s="2027"/>
      <c r="S1439" s="2027"/>
      <c r="T1439" s="2027"/>
      <c r="U1439" s="2027"/>
      <c r="V1439" s="2027"/>
      <c r="W1439" s="2027"/>
      <c r="X1439" s="2027"/>
      <c r="Y1439" s="2027"/>
      <c r="Z1439" s="2027"/>
      <c r="AA1439" s="2027"/>
      <c r="AB1439" s="2027"/>
      <c r="AC1439" s="2027"/>
      <c r="AD1439" s="2027"/>
      <c r="AE1439" s="2027"/>
      <c r="AF1439" s="2027"/>
    </row>
    <row r="1440" spans="1:32" ht="15">
      <c r="A1440" s="2466" t="s">
        <v>1838</v>
      </c>
      <c r="B1440" s="1996" t="s">
        <v>4920</v>
      </c>
      <c r="C1440" s="1997"/>
      <c r="D1440" s="1997"/>
      <c r="E1440" s="1997"/>
      <c r="F1440" s="1997"/>
      <c r="G1440" s="1997"/>
      <c r="H1440" s="1997"/>
      <c r="I1440" s="1997"/>
      <c r="J1440" s="1997"/>
      <c r="K1440" s="1997"/>
      <c r="L1440" s="2840" t="s">
        <v>4896</v>
      </c>
      <c r="M1440" s="2011">
        <v>3</v>
      </c>
      <c r="N1440" s="2464"/>
      <c r="O1440" s="2026">
        <f>'Part VIII Scoring Criteria'!O291</f>
        <v>3</v>
      </c>
      <c r="P1440" s="2026"/>
      <c r="Q1440" s="2811" t="str">
        <f>IF(OR($O1440&lt;=$M1440,$O1440=""),"","*CHECK!*")</f>
        <v/>
      </c>
      <c r="R1440" s="2812"/>
      <c r="S1440" s="1997"/>
      <c r="T1440" s="1997"/>
      <c r="U1440" s="1997"/>
      <c r="V1440" s="1997"/>
      <c r="W1440" s="1997"/>
      <c r="X1440" s="1997"/>
      <c r="Y1440" s="1997"/>
      <c r="Z1440" s="1997"/>
      <c r="AA1440" s="1997"/>
      <c r="AB1440" s="1997"/>
      <c r="AC1440" s="1997"/>
      <c r="AD1440" s="1997"/>
      <c r="AE1440" s="1997"/>
      <c r="AF1440" s="1997"/>
    </row>
    <row r="1441" spans="1:32" ht="15">
      <c r="A1441" s="2027"/>
      <c r="B1441" s="2027"/>
      <c r="C1441" s="2027" t="s">
        <v>4922</v>
      </c>
      <c r="D1441" s="2027"/>
      <c r="E1441" s="2027"/>
      <c r="F1441" s="2027"/>
      <c r="G1441" s="2027"/>
      <c r="H1441" s="2027"/>
      <c r="I1441" s="2027"/>
      <c r="J1441" s="2027"/>
      <c r="K1441" s="2027"/>
      <c r="L1441" s="2027"/>
      <c r="M1441" s="2027"/>
      <c r="N1441" s="2016"/>
      <c r="O1441" s="2026">
        <f>'Part VIII Scoring Criteria'!O292</f>
        <v>0</v>
      </c>
      <c r="P1441" s="2026"/>
      <c r="Q1441" s="2027"/>
      <c r="R1441" s="2027"/>
      <c r="S1441" s="2027"/>
      <c r="T1441" s="2027"/>
      <c r="U1441" s="2027"/>
      <c r="V1441" s="2027"/>
      <c r="W1441" s="2027"/>
      <c r="X1441" s="2027"/>
      <c r="Y1441" s="2027"/>
      <c r="Z1441" s="2027"/>
      <c r="AA1441" s="2027"/>
      <c r="AB1441" s="2027"/>
      <c r="AC1441" s="2027"/>
      <c r="AD1441" s="2027"/>
      <c r="AE1441" s="2027"/>
      <c r="AF1441" s="2027"/>
    </row>
    <row r="1442" spans="1:32" ht="15">
      <c r="A1442" s="2027"/>
      <c r="B1442" s="2027"/>
      <c r="C1442" s="2027" t="s">
        <v>4925</v>
      </c>
      <c r="D1442" s="2027"/>
      <c r="E1442" s="2027"/>
      <c r="F1442" s="2027"/>
      <c r="G1442" s="2027"/>
      <c r="H1442" s="2027"/>
      <c r="I1442" s="2027"/>
      <c r="J1442" s="2027"/>
      <c r="K1442" s="2027"/>
      <c r="L1442" s="2027"/>
      <c r="M1442" s="2027"/>
      <c r="N1442" s="2016"/>
      <c r="O1442" s="2026" t="str">
        <f>'Part VIII Scoring Criteria'!O293</f>
        <v>No</v>
      </c>
      <c r="P1442" s="2026"/>
      <c r="Q1442" s="2027"/>
      <c r="R1442" s="2027"/>
      <c r="S1442" s="2027"/>
      <c r="T1442" s="2027"/>
      <c r="U1442" s="2027"/>
      <c r="V1442" s="2027"/>
      <c r="W1442" s="2027"/>
      <c r="X1442" s="2027"/>
      <c r="Y1442" s="2027"/>
      <c r="Z1442" s="2027"/>
      <c r="AA1442" s="2027"/>
      <c r="AB1442" s="2027"/>
      <c r="AC1442" s="2027"/>
      <c r="AD1442" s="2027"/>
      <c r="AE1442" s="2027"/>
      <c r="AF1442" s="2027"/>
    </row>
    <row r="1443" spans="1:32" ht="15">
      <c r="A1443" s="2466" t="s">
        <v>697</v>
      </c>
      <c r="B1443" s="1996" t="s">
        <v>4921</v>
      </c>
      <c r="C1443" s="2027"/>
      <c r="D1443" s="2027"/>
      <c r="E1443" s="2027"/>
      <c r="F1443" s="2027"/>
      <c r="G1443" s="2030"/>
      <c r="H1443" s="2027"/>
      <c r="I1443" s="2809"/>
      <c r="J1443" s="2027"/>
      <c r="K1443" s="2027"/>
      <c r="L1443" s="2840" t="s">
        <v>4896</v>
      </c>
      <c r="M1443" s="2011">
        <v>3</v>
      </c>
      <c r="N1443" s="2464"/>
      <c r="O1443" s="2026">
        <f>'Part VIII Scoring Criteria'!O294</f>
        <v>0</v>
      </c>
      <c r="P1443" s="2026"/>
      <c r="Q1443" s="2811" t="str">
        <f>IF(OR($O1443&lt;=$M1443,$O1443=""),"","*CHECK!*")</f>
        <v/>
      </c>
      <c r="R1443" s="2812"/>
      <c r="S1443" s="2027"/>
      <c r="T1443" s="2027"/>
      <c r="U1443" s="2027"/>
      <c r="V1443" s="2027"/>
      <c r="W1443" s="2027"/>
      <c r="X1443" s="2027"/>
      <c r="Y1443" s="2027"/>
      <c r="Z1443" s="2027"/>
      <c r="AA1443" s="2027"/>
      <c r="AB1443" s="2027"/>
      <c r="AC1443" s="2027"/>
      <c r="AD1443" s="2027"/>
      <c r="AE1443" s="2027"/>
      <c r="AF1443" s="2027"/>
    </row>
    <row r="1444" spans="1:32" ht="15">
      <c r="A1444" s="2027"/>
      <c r="B1444" s="2027"/>
      <c r="C1444" s="2027" t="s">
        <v>4994</v>
      </c>
      <c r="D1444" s="2027"/>
      <c r="E1444" s="2027"/>
      <c r="F1444" s="2027"/>
      <c r="G1444" s="2027"/>
      <c r="H1444" s="2027"/>
      <c r="I1444" s="2027"/>
      <c r="J1444" s="2027"/>
      <c r="K1444" s="2027"/>
      <c r="L1444" s="2027"/>
      <c r="M1444" s="2027"/>
      <c r="N1444" s="2016"/>
      <c r="O1444" s="2026">
        <f>'Part VIII Scoring Criteria'!O295</f>
        <v>0</v>
      </c>
      <c r="P1444" s="2894"/>
      <c r="Q1444" s="2027"/>
      <c r="R1444" s="2027"/>
      <c r="S1444" s="2027"/>
      <c r="T1444" s="2027"/>
      <c r="U1444" s="2027"/>
      <c r="V1444" s="2027"/>
      <c r="W1444" s="2027"/>
      <c r="X1444" s="2027"/>
      <c r="Y1444" s="2027"/>
      <c r="Z1444" s="2027"/>
      <c r="AA1444" s="2027"/>
      <c r="AB1444" s="2027"/>
      <c r="AC1444" s="2027"/>
      <c r="AD1444" s="2027"/>
      <c r="AE1444" s="2027"/>
      <c r="AF1444" s="2027"/>
    </row>
    <row r="1445" spans="1:32" ht="15">
      <c r="A1445" s="2027"/>
      <c r="B1445" s="2027"/>
      <c r="C1445" s="2027"/>
      <c r="D1445" s="2027"/>
      <c r="E1445" s="2027"/>
      <c r="F1445" s="2027"/>
      <c r="G1445" s="2027"/>
      <c r="H1445" s="2027"/>
      <c r="I1445" s="2027"/>
      <c r="J1445" s="2027"/>
      <c r="K1445" s="2027"/>
      <c r="L1445" s="2027"/>
      <c r="M1445" s="2027"/>
      <c r="N1445" s="2016"/>
      <c r="O1445" s="2029"/>
      <c r="P1445" s="2029"/>
      <c r="Q1445" s="2027"/>
      <c r="R1445" s="2027"/>
      <c r="S1445" s="2027"/>
      <c r="T1445" s="2027"/>
      <c r="U1445" s="2027"/>
      <c r="V1445" s="2027"/>
      <c r="W1445" s="2027"/>
      <c r="X1445" s="2027"/>
      <c r="Y1445" s="2027"/>
      <c r="Z1445" s="2027"/>
      <c r="AA1445" s="2027"/>
      <c r="AB1445" s="2027"/>
      <c r="AC1445" s="2027"/>
      <c r="AD1445" s="2027"/>
      <c r="AE1445" s="2027"/>
      <c r="AF1445" s="2027"/>
    </row>
    <row r="1446" spans="1:32" ht="15">
      <c r="A1446" s="1997"/>
      <c r="B1446" s="2806" t="s">
        <v>5113</v>
      </c>
      <c r="C1446" s="1997"/>
      <c r="D1446" s="1997"/>
      <c r="E1446" s="1997"/>
      <c r="F1446" s="1997"/>
      <c r="G1446" s="1997"/>
      <c r="H1446" s="1997"/>
      <c r="I1446" s="1997"/>
      <c r="J1446" s="1997"/>
      <c r="K1446" s="1997"/>
      <c r="L1446" s="2027"/>
      <c r="M1446" s="2011"/>
      <c r="N1446" s="2016"/>
      <c r="O1446" s="2026"/>
      <c r="P1446" s="2029"/>
      <c r="Q1446" s="2027"/>
      <c r="R1446" s="2027"/>
      <c r="S1446" s="2027"/>
      <c r="T1446" s="2027"/>
      <c r="U1446" s="2027"/>
      <c r="V1446" s="2027"/>
      <c r="W1446" s="2027"/>
      <c r="X1446" s="2027"/>
      <c r="Y1446" s="2027"/>
      <c r="Z1446" s="2027"/>
      <c r="AA1446" s="2027"/>
      <c r="AB1446" s="2027"/>
      <c r="AC1446" s="2027"/>
      <c r="AD1446" s="2027"/>
      <c r="AE1446" s="2027"/>
      <c r="AF1446" s="2027"/>
    </row>
    <row r="1447" spans="1:32" ht="15">
      <c r="A1447" s="2821" t="str">
        <f>'Part VIII Scoring Criteria'!A298</f>
        <v>Redland Trace is located within the one-mile radius of Zimmerman’s Villas at Redland Creek.  Villas at Redland Creek was a 2016 awarded deal (2016-024).  Thus, there are no awards within the past six years, and we are claiming three points.</v>
      </c>
      <c r="B1447" s="2821"/>
      <c r="C1447" s="2821"/>
      <c r="D1447" s="2821"/>
      <c r="E1447" s="2821"/>
      <c r="F1447" s="2821"/>
      <c r="G1447" s="2821"/>
      <c r="H1447" s="2821"/>
      <c r="I1447" s="2821"/>
      <c r="J1447" s="2821"/>
      <c r="K1447" s="2821"/>
      <c r="L1447" s="2821"/>
      <c r="M1447" s="2821"/>
      <c r="N1447" s="2821"/>
      <c r="O1447" s="2821"/>
      <c r="P1447" s="2821"/>
      <c r="Q1447" s="1996"/>
      <c r="R1447" s="2027"/>
      <c r="S1447" s="2027"/>
      <c r="T1447" s="2027"/>
      <c r="U1447" s="2027"/>
      <c r="V1447" s="2027"/>
      <c r="W1447" s="2027"/>
      <c r="X1447" s="2027"/>
      <c r="Y1447" s="2027"/>
      <c r="Z1447" s="2027"/>
      <c r="AA1447" s="2027"/>
      <c r="AB1447" s="2027"/>
      <c r="AC1447" s="2027"/>
      <c r="AD1447" s="2027"/>
      <c r="AE1447" s="2027"/>
      <c r="AF1447" s="2027"/>
    </row>
    <row r="1448" spans="1:32" ht="15">
      <c r="A1448" s="2027"/>
      <c r="B1448" s="2821" t="s">
        <v>1725</v>
      </c>
      <c r="C1448" s="1997"/>
      <c r="D1448" s="2821"/>
      <c r="E1448" s="2034"/>
      <c r="F1448" s="2034"/>
      <c r="G1448" s="2034"/>
      <c r="H1448" s="2034"/>
      <c r="I1448" s="2034"/>
      <c r="J1448" s="2034"/>
      <c r="K1448" s="2034"/>
      <c r="L1448" s="2034"/>
      <c r="M1448" s="2034"/>
      <c r="N1448" s="2032"/>
      <c r="O1448" s="2817"/>
      <c r="P1448" s="2466"/>
      <c r="Q1448" s="2027"/>
      <c r="R1448" s="2027"/>
      <c r="S1448" s="2027"/>
      <c r="T1448" s="2027"/>
      <c r="U1448" s="2027"/>
      <c r="V1448" s="2027"/>
      <c r="W1448" s="2027"/>
      <c r="X1448" s="2027"/>
      <c r="Y1448" s="2027"/>
      <c r="Z1448" s="2027"/>
      <c r="AA1448" s="2027"/>
      <c r="AB1448" s="2027"/>
      <c r="AC1448" s="2027"/>
      <c r="AD1448" s="2027"/>
      <c r="AE1448" s="2027"/>
      <c r="AF1448" s="2027"/>
    </row>
    <row r="1449" spans="1:32" ht="15">
      <c r="A1449" s="2033"/>
      <c r="B1449" s="2033"/>
      <c r="C1449" s="2033"/>
      <c r="D1449" s="2033"/>
      <c r="E1449" s="2033"/>
      <c r="F1449" s="2033"/>
      <c r="G1449" s="2033"/>
      <c r="H1449" s="2033"/>
      <c r="I1449" s="2033"/>
      <c r="J1449" s="2033"/>
      <c r="K1449" s="2033"/>
      <c r="L1449" s="2033"/>
      <c r="M1449" s="2033"/>
      <c r="N1449" s="2033"/>
      <c r="O1449" s="2033"/>
      <c r="P1449" s="2033"/>
      <c r="Q1449" s="1996"/>
      <c r="R1449" s="2027"/>
      <c r="S1449" s="2027"/>
      <c r="T1449" s="2027"/>
      <c r="U1449" s="2027"/>
      <c r="V1449" s="2027"/>
      <c r="W1449" s="2027"/>
      <c r="X1449" s="2027"/>
      <c r="Y1449" s="2027"/>
      <c r="Z1449" s="2027"/>
      <c r="AA1449" s="2027"/>
      <c r="AB1449" s="2027"/>
      <c r="AC1449" s="2027"/>
      <c r="AD1449" s="2027"/>
      <c r="AE1449" s="2027"/>
      <c r="AF1449" s="2027"/>
    </row>
    <row r="1450" spans="1:32" ht="15">
      <c r="A1450" s="2027"/>
      <c r="B1450" s="2027"/>
      <c r="C1450" s="2027"/>
      <c r="D1450" s="2027"/>
      <c r="E1450" s="2027"/>
      <c r="F1450" s="2027"/>
      <c r="G1450" s="2027"/>
      <c r="H1450" s="2027"/>
      <c r="I1450" s="2027"/>
      <c r="J1450" s="2027"/>
      <c r="K1450" s="2027"/>
      <c r="L1450" s="2027"/>
      <c r="M1450" s="2027"/>
      <c r="N1450" s="2016"/>
      <c r="O1450" s="2029"/>
      <c r="P1450" s="2029"/>
      <c r="Q1450" s="2027"/>
      <c r="R1450" s="2027"/>
      <c r="S1450" s="2027"/>
      <c r="T1450" s="2027"/>
      <c r="U1450" s="2027"/>
      <c r="V1450" s="2027"/>
      <c r="W1450" s="2027"/>
      <c r="X1450" s="2027"/>
      <c r="Y1450" s="2027"/>
      <c r="Z1450" s="2027"/>
      <c r="AA1450" s="2027"/>
      <c r="AB1450" s="2027"/>
      <c r="AC1450" s="2027"/>
      <c r="AD1450" s="2027"/>
      <c r="AE1450" s="2027"/>
      <c r="AF1450" s="2027"/>
    </row>
    <row r="1451" spans="1:32" ht="15">
      <c r="A1451" s="2027"/>
      <c r="B1451" s="2027"/>
      <c r="C1451" s="2027"/>
      <c r="D1451" s="2027"/>
      <c r="E1451" s="2027"/>
      <c r="F1451" s="2027"/>
      <c r="G1451" s="2027"/>
      <c r="H1451" s="2027"/>
      <c r="I1451" s="2027"/>
      <c r="J1451" s="2027"/>
      <c r="K1451" s="2027"/>
      <c r="L1451" s="2027"/>
      <c r="M1451" s="2027"/>
      <c r="N1451" s="2016"/>
      <c r="O1451" s="2029"/>
      <c r="P1451" s="2029"/>
      <c r="Q1451" s="2027"/>
      <c r="R1451" s="2027"/>
      <c r="S1451" s="2027"/>
      <c r="T1451" s="2027"/>
      <c r="U1451" s="2027"/>
      <c r="V1451" s="2027"/>
      <c r="W1451" s="2027"/>
      <c r="X1451" s="2027"/>
      <c r="Y1451" s="2027"/>
      <c r="Z1451" s="2027"/>
      <c r="AA1451" s="2027"/>
      <c r="AB1451" s="2027"/>
      <c r="AC1451" s="2027"/>
      <c r="AD1451" s="2027"/>
      <c r="AE1451" s="2027"/>
      <c r="AF1451" s="2027"/>
    </row>
    <row r="1452" spans="1:32" ht="15">
      <c r="A1452" s="2461" t="s">
        <v>3285</v>
      </c>
      <c r="B1452" s="2462" t="s">
        <v>4850</v>
      </c>
      <c r="C1452" s="1997"/>
      <c r="D1452" s="2462"/>
      <c r="E1452" s="2462"/>
      <c r="F1452" s="1997"/>
      <c r="G1452" s="2822"/>
      <c r="H1452" s="1997"/>
      <c r="I1452" s="1997"/>
      <c r="J1452" s="2469" t="str">
        <f>IF(OR($O$206&gt;0,$O$238&gt;0,$O$265&gt;0),"Points already claimed in another restricted section!","")</f>
        <v>Points already claimed in another restricted section!</v>
      </c>
      <c r="K1452" s="2469" t="str">
        <f>IF(AND(O1452&gt;0,NOT($F$12="New Affordability")), "Not New Affordability!","")</f>
        <v/>
      </c>
      <c r="L1452" s="2808" t="s">
        <v>4896</v>
      </c>
      <c r="M1452" s="2466">
        <v>10</v>
      </c>
      <c r="N1452" s="2011"/>
      <c r="O1452" s="2026">
        <f>'Part VIII Scoring Criteria'!O303</f>
        <v>0</v>
      </c>
      <c r="P1452" s="2026">
        <f>'Part VIII Scoring Criteria'!P303</f>
        <v>0</v>
      </c>
      <c r="Q1452" s="2466" t="s">
        <v>415</v>
      </c>
      <c r="R1452" s="2882" t="s">
        <v>4998</v>
      </c>
      <c r="S1452" s="1996"/>
      <c r="T1452" s="1996"/>
      <c r="U1452" s="1996"/>
      <c r="V1452" s="2878">
        <f>$C$16</f>
        <v>0</v>
      </c>
      <c r="W1452" s="1997"/>
      <c r="X1452" s="1997"/>
      <c r="Y1452" s="1997"/>
      <c r="Z1452" s="1997"/>
      <c r="AA1452" s="1997"/>
      <c r="AB1452" s="1997"/>
      <c r="AC1452" s="1997"/>
      <c r="AD1452" s="1997"/>
      <c r="AE1452" s="1997"/>
      <c r="AF1452" s="1997"/>
    </row>
    <row r="1453" spans="1:32" ht="15">
      <c r="A1453" s="2461"/>
      <c r="B1453" s="2462"/>
      <c r="C1453" s="1997"/>
      <c r="D1453" s="2462"/>
      <c r="E1453" s="2462"/>
      <c r="F1453" s="1997"/>
      <c r="G1453" s="1997"/>
      <c r="H1453" s="1997"/>
      <c r="I1453" s="1997"/>
      <c r="J1453" s="1997"/>
      <c r="K1453" s="1997"/>
      <c r="L1453" s="2469"/>
      <c r="M1453" s="2466"/>
      <c r="N1453" s="2011"/>
      <c r="O1453" s="2026"/>
      <c r="P1453" s="2026"/>
      <c r="Q1453" s="2466"/>
      <c r="R1453" s="2812"/>
      <c r="S1453" s="1996"/>
      <c r="T1453" s="1996"/>
      <c r="U1453" s="1996"/>
      <c r="V1453" s="2027"/>
      <c r="W1453" s="2027"/>
      <c r="X1453" s="2027"/>
      <c r="Y1453" s="1997"/>
      <c r="Z1453" s="1997"/>
      <c r="AA1453" s="1997"/>
      <c r="AB1453" s="1997"/>
      <c r="AC1453" s="1997"/>
      <c r="AD1453" s="1997"/>
      <c r="AE1453" s="1997"/>
      <c r="AF1453" s="1997"/>
    </row>
    <row r="1454" spans="1:32" ht="15">
      <c r="A1454" s="2461"/>
      <c r="B1454" s="1997"/>
      <c r="C1454" s="1997" t="s">
        <v>4912</v>
      </c>
      <c r="D1454" s="2462"/>
      <c r="E1454" s="2462"/>
      <c r="F1454" s="1997"/>
      <c r="G1454" s="1997"/>
      <c r="H1454" s="1997"/>
      <c r="I1454" s="1997"/>
      <c r="J1454" s="2466" t="s">
        <v>2880</v>
      </c>
      <c r="K1454" s="2466" t="s">
        <v>245</v>
      </c>
      <c r="L1454" s="2469"/>
      <c r="M1454" s="2466"/>
      <c r="N1454" s="2011"/>
      <c r="O1454" s="2026"/>
      <c r="P1454" s="2026"/>
      <c r="Q1454" s="2466"/>
      <c r="R1454" s="2812"/>
      <c r="S1454" s="1996"/>
      <c r="T1454" s="1996"/>
      <c r="U1454" s="1996"/>
      <c r="V1454" s="2027"/>
      <c r="W1454" s="2027"/>
      <c r="X1454" s="2027"/>
      <c r="Y1454" s="1997"/>
      <c r="Z1454" s="1997"/>
      <c r="AA1454" s="1997"/>
      <c r="AB1454" s="1997"/>
      <c r="AC1454" s="1997"/>
      <c r="AD1454" s="1997"/>
      <c r="AE1454" s="1997"/>
      <c r="AF1454" s="1997"/>
    </row>
    <row r="1455" spans="1:32" ht="15">
      <c r="A1455" s="2461"/>
      <c r="B1455" s="2462"/>
      <c r="C1455" s="1997"/>
      <c r="D1455" s="1997" t="s">
        <v>3308</v>
      </c>
      <c r="E1455" s="2462"/>
      <c r="F1455" s="1997"/>
      <c r="G1455" s="1997"/>
      <c r="H1455" s="1997"/>
      <c r="I1455" s="1997"/>
      <c r="J1455" s="2895">
        <f>'Part VIII Scoring Criteria'!J306</f>
        <v>0</v>
      </c>
      <c r="K1455" s="2895">
        <f>'Part VIII Scoring Criteria'!K306</f>
        <v>0</v>
      </c>
      <c r="L1455" s="2469"/>
      <c r="M1455" s="1997" t="str">
        <f>'Part VIII Scoring Criteria'!M306</f>
        <v>Atlanta Metro</v>
      </c>
      <c r="N1455" s="1997"/>
      <c r="O1455" s="1997"/>
      <c r="P1455" s="1997"/>
      <c r="Q1455" s="2466"/>
      <c r="R1455" s="2812"/>
      <c r="S1455" s="1996"/>
      <c r="T1455" s="1996"/>
      <c r="U1455" s="1996"/>
      <c r="V1455" s="2027"/>
      <c r="W1455" s="2027"/>
      <c r="X1455" s="2027"/>
      <c r="Y1455" s="1997"/>
      <c r="Z1455" s="1997"/>
      <c r="AA1455" s="1997"/>
      <c r="AB1455" s="1997"/>
      <c r="AC1455" s="1997"/>
      <c r="AD1455" s="1997"/>
      <c r="AE1455" s="1997"/>
      <c r="AF1455" s="1997"/>
    </row>
    <row r="1456" spans="1:32" ht="15">
      <c r="A1456" s="2461"/>
      <c r="B1456" s="2462"/>
      <c r="C1456" s="1997"/>
      <c r="D1456" s="1997" t="s">
        <v>3911</v>
      </c>
      <c r="E1456" s="2462"/>
      <c r="F1456" s="1997"/>
      <c r="G1456" s="1997"/>
      <c r="H1456" s="1997"/>
      <c r="I1456" s="1997"/>
      <c r="J1456" s="2804">
        <f>'Part VIII Scoring Criteria'!J307</f>
        <v>9</v>
      </c>
      <c r="K1456" s="2804">
        <f>'Part VIII Scoring Criteria'!K307</f>
        <v>0</v>
      </c>
      <c r="L1456" s="2469"/>
      <c r="M1456" s="2466"/>
      <c r="N1456" s="2011"/>
      <c r="O1456" s="2026"/>
      <c r="P1456" s="2026"/>
      <c r="Q1456" s="2466"/>
      <c r="R1456" s="2812"/>
      <c r="S1456" s="1996"/>
      <c r="T1456" s="1996"/>
      <c r="U1456" s="1996"/>
      <c r="V1456" s="2027"/>
      <c r="W1456" s="2027"/>
      <c r="X1456" s="2027"/>
      <c r="Y1456" s="1997"/>
      <c r="Z1456" s="1997"/>
      <c r="AA1456" s="1997"/>
      <c r="AB1456" s="1997"/>
      <c r="AC1456" s="1997"/>
      <c r="AD1456" s="1997"/>
      <c r="AE1456" s="1997"/>
      <c r="AF1456" s="1997"/>
    </row>
    <row r="1457" spans="1:32" ht="15">
      <c r="A1457" s="2461"/>
      <c r="B1457" s="2462"/>
      <c r="C1457" s="1997"/>
      <c r="D1457" s="2462"/>
      <c r="E1457" s="2462"/>
      <c r="F1457" s="1997"/>
      <c r="G1457" s="1997"/>
      <c r="H1457" s="1997"/>
      <c r="I1457" s="1997"/>
      <c r="J1457" s="1997"/>
      <c r="K1457" s="1997"/>
      <c r="L1457" s="2469"/>
      <c r="M1457" s="2466"/>
      <c r="N1457" s="2011"/>
      <c r="O1457" s="2026"/>
      <c r="P1457" s="2026"/>
      <c r="Q1457" s="2466"/>
      <c r="R1457" s="2812"/>
      <c r="S1457" s="1996"/>
      <c r="T1457" s="1996"/>
      <c r="U1457" s="1996"/>
      <c r="V1457" s="2027"/>
      <c r="W1457" s="2027"/>
      <c r="X1457" s="2027"/>
      <c r="Y1457" s="1997"/>
      <c r="Z1457" s="1997"/>
      <c r="AA1457" s="1997"/>
      <c r="AB1457" s="1997"/>
      <c r="AC1457" s="1997"/>
      <c r="AD1457" s="1997"/>
      <c r="AE1457" s="1997"/>
      <c r="AF1457" s="1997"/>
    </row>
    <row r="1458" spans="1:32" ht="15">
      <c r="A1458" s="2466" t="s">
        <v>1836</v>
      </c>
      <c r="B1458" s="2826" t="s">
        <v>4923</v>
      </c>
      <c r="C1458" s="2027"/>
      <c r="D1458" s="2034"/>
      <c r="E1458" s="2034"/>
      <c r="F1458" s="2034"/>
      <c r="G1458" s="2034"/>
      <c r="H1458" s="2034"/>
      <c r="I1458" s="2027"/>
      <c r="J1458" s="2027"/>
      <c r="K1458" s="2027"/>
      <c r="L1458" s="2810" t="str">
        <f t="shared" ref="L1458:L1459" si="429">IF(OR($O1458=$M1458,$O1458=0,$O1458=""),"","* * Check Score! * *")</f>
        <v/>
      </c>
      <c r="M1458" s="2466">
        <v>5</v>
      </c>
      <c r="N1458" s="2464"/>
      <c r="O1458" s="2026">
        <f>'Part VIII Scoring Criteria'!O309</f>
        <v>0</v>
      </c>
      <c r="P1458" s="2026"/>
      <c r="Q1458" s="2016"/>
      <c r="R1458" s="1996"/>
      <c r="S1458" s="1996"/>
      <c r="T1458" s="1996"/>
      <c r="U1458" s="1996"/>
      <c r="V1458" s="1996"/>
      <c r="W1458" s="2027"/>
      <c r="X1458" s="2027"/>
      <c r="Y1458" s="2027"/>
      <c r="Z1458" s="2027"/>
      <c r="AA1458" s="2027"/>
      <c r="AB1458" s="2027"/>
      <c r="AC1458" s="2027"/>
      <c r="AD1458" s="2027"/>
      <c r="AE1458" s="2027"/>
      <c r="AF1458" s="2027"/>
    </row>
    <row r="1459" spans="1:32" ht="15">
      <c r="A1459" s="2466" t="s">
        <v>1838</v>
      </c>
      <c r="B1459" s="2826" t="s">
        <v>4924</v>
      </c>
      <c r="C1459" s="2027"/>
      <c r="D1459" s="2034"/>
      <c r="E1459" s="2027"/>
      <c r="F1459" s="2027"/>
      <c r="G1459" s="2027"/>
      <c r="H1459" s="2027"/>
      <c r="I1459" s="2027"/>
      <c r="J1459" s="2896" t="str">
        <f>IF(AND(O1458=$M1458,OR((O1364+O1379+O1386)&gt;=5,J1400&gt;=5)),"Eligible","Currently not eligible")</f>
        <v>Currently not eligible</v>
      </c>
      <c r="K1459" s="2027"/>
      <c r="L1459" s="2810" t="e">
        <f t="shared" si="429"/>
        <v>#VALUE!</v>
      </c>
      <c r="M1459" s="2466">
        <v>5</v>
      </c>
      <c r="N1459" s="2464"/>
      <c r="O1459" s="2026" t="e">
        <f>'Part VIII Scoring Criteria'!O310</f>
        <v>#VALUE!</v>
      </c>
      <c r="P1459" s="2026">
        <f>'Part VIII Scoring Criteria'!P310</f>
        <v>0</v>
      </c>
      <c r="Q1459" s="2016"/>
      <c r="R1459" s="1996"/>
      <c r="S1459" s="1996"/>
      <c r="T1459" s="1996"/>
      <c r="U1459" s="1996"/>
      <c r="V1459" s="1996"/>
      <c r="W1459" s="2027"/>
      <c r="X1459" s="2027"/>
      <c r="Y1459" s="2027"/>
      <c r="Z1459" s="2027"/>
      <c r="AA1459" s="2027"/>
      <c r="AB1459" s="2027"/>
      <c r="AC1459" s="2027"/>
      <c r="AD1459" s="2027"/>
      <c r="AE1459" s="2027"/>
      <c r="AF1459" s="2027"/>
    </row>
    <row r="1460" spans="1:32" ht="15">
      <c r="A1460" s="1997"/>
      <c r="B1460" s="2806" t="s">
        <v>5113</v>
      </c>
      <c r="C1460" s="1997"/>
      <c r="D1460" s="1997"/>
      <c r="E1460" s="1997"/>
      <c r="F1460" s="1997"/>
      <c r="G1460" s="1997"/>
      <c r="H1460" s="1997"/>
      <c r="I1460" s="1997"/>
      <c r="J1460" s="1997"/>
      <c r="K1460" s="1997"/>
      <c r="L1460" s="2027"/>
      <c r="M1460" s="2011"/>
      <c r="N1460" s="2016"/>
      <c r="O1460" s="2026"/>
      <c r="P1460" s="2029"/>
      <c r="Q1460" s="2027"/>
      <c r="R1460" s="1996"/>
      <c r="S1460" s="1996"/>
      <c r="T1460" s="1996"/>
      <c r="U1460" s="1996"/>
      <c r="V1460" s="1996"/>
      <c r="W1460" s="2027"/>
      <c r="X1460" s="2027"/>
      <c r="Y1460" s="2027"/>
      <c r="Z1460" s="2027"/>
      <c r="AA1460" s="2027"/>
      <c r="AB1460" s="2027"/>
      <c r="AC1460" s="2027"/>
      <c r="AD1460" s="2027"/>
      <c r="AE1460" s="2027"/>
      <c r="AF1460" s="2027"/>
    </row>
    <row r="1461" spans="1:32" ht="15">
      <c r="A1461" s="2821" t="str">
        <f>'Part VIII Scoring Criteria'!A312</f>
        <v>n/a</v>
      </c>
      <c r="B1461" s="2821"/>
      <c r="C1461" s="2821"/>
      <c r="D1461" s="2821"/>
      <c r="E1461" s="2821"/>
      <c r="F1461" s="2821"/>
      <c r="G1461" s="2821"/>
      <c r="H1461" s="2821"/>
      <c r="I1461" s="2821"/>
      <c r="J1461" s="2821"/>
      <c r="K1461" s="2821"/>
      <c r="L1461" s="2821"/>
      <c r="M1461" s="2821"/>
      <c r="N1461" s="2821"/>
      <c r="O1461" s="2821"/>
      <c r="P1461" s="2821"/>
      <c r="Q1461" s="1996"/>
      <c r="R1461" s="2027"/>
      <c r="S1461" s="2027"/>
      <c r="T1461" s="2027"/>
      <c r="U1461" s="2027"/>
      <c r="V1461" s="2027"/>
      <c r="W1461" s="2027"/>
      <c r="X1461" s="2027"/>
      <c r="Y1461" s="2027"/>
      <c r="Z1461" s="2027"/>
      <c r="AA1461" s="2027"/>
      <c r="AB1461" s="2027"/>
      <c r="AC1461" s="2027"/>
      <c r="AD1461" s="2027"/>
      <c r="AE1461" s="2027"/>
      <c r="AF1461" s="2027"/>
    </row>
    <row r="1462" spans="1:32" ht="15">
      <c r="A1462" s="1997"/>
      <c r="B1462" s="2821" t="s">
        <v>1725</v>
      </c>
      <c r="C1462" s="1997"/>
      <c r="D1462" s="2821"/>
      <c r="E1462" s="2034"/>
      <c r="F1462" s="2034"/>
      <c r="G1462" s="2034"/>
      <c r="H1462" s="2034"/>
      <c r="I1462" s="2034"/>
      <c r="J1462" s="2034"/>
      <c r="K1462" s="2034"/>
      <c r="L1462" s="2034"/>
      <c r="M1462" s="2034"/>
      <c r="N1462" s="2032"/>
      <c r="O1462" s="2817"/>
      <c r="P1462" s="2466"/>
      <c r="Q1462" s="2027"/>
      <c r="R1462" s="2027"/>
      <c r="S1462" s="2027"/>
      <c r="T1462" s="2027"/>
      <c r="U1462" s="2027"/>
      <c r="V1462" s="2027"/>
      <c r="W1462" s="2027"/>
      <c r="X1462" s="2027"/>
      <c r="Y1462" s="2027"/>
      <c r="Z1462" s="2027"/>
      <c r="AA1462" s="2027"/>
      <c r="AB1462" s="2027"/>
      <c r="AC1462" s="2027"/>
      <c r="AD1462" s="2027"/>
      <c r="AE1462" s="2027"/>
      <c r="AF1462" s="2027"/>
    </row>
    <row r="1463" spans="1:32" ht="15">
      <c r="A1463" s="2033"/>
      <c r="B1463" s="2033"/>
      <c r="C1463" s="2033"/>
      <c r="D1463" s="2033"/>
      <c r="E1463" s="2033"/>
      <c r="F1463" s="2033"/>
      <c r="G1463" s="2033"/>
      <c r="H1463" s="2033"/>
      <c r="I1463" s="2033"/>
      <c r="J1463" s="2033"/>
      <c r="K1463" s="2033"/>
      <c r="L1463" s="2033"/>
      <c r="M1463" s="2033"/>
      <c r="N1463" s="2033"/>
      <c r="O1463" s="2033"/>
      <c r="P1463" s="2033"/>
      <c r="Q1463" s="1996"/>
      <c r="R1463" s="2027"/>
      <c r="S1463" s="2027"/>
      <c r="T1463" s="2027"/>
      <c r="U1463" s="2027"/>
      <c r="V1463" s="2027"/>
      <c r="W1463" s="2027"/>
      <c r="X1463" s="2027"/>
      <c r="Y1463" s="2027"/>
      <c r="Z1463" s="2027"/>
      <c r="AA1463" s="2027"/>
      <c r="AB1463" s="2027"/>
      <c r="AC1463" s="2027"/>
      <c r="AD1463" s="2027"/>
      <c r="AE1463" s="2027"/>
      <c r="AF1463" s="2027"/>
    </row>
    <row r="1464" spans="1:32" ht="15">
      <c r="A1464" s="2027"/>
      <c r="B1464" s="2027"/>
      <c r="C1464" s="2027"/>
      <c r="D1464" s="2027"/>
      <c r="E1464" s="2027"/>
      <c r="F1464" s="2027"/>
      <c r="G1464" s="2027"/>
      <c r="H1464" s="2027"/>
      <c r="I1464" s="2027"/>
      <c r="J1464" s="2027"/>
      <c r="K1464" s="2027"/>
      <c r="L1464" s="2027"/>
      <c r="M1464" s="2027"/>
      <c r="N1464" s="2016"/>
      <c r="O1464" s="2029"/>
      <c r="P1464" s="2029"/>
      <c r="Q1464" s="2027"/>
      <c r="R1464" s="2027"/>
      <c r="S1464" s="2027"/>
      <c r="T1464" s="2027"/>
      <c r="U1464" s="2027"/>
      <c r="V1464" s="2027"/>
      <c r="W1464" s="2027"/>
      <c r="X1464" s="2027"/>
      <c r="Y1464" s="2027"/>
      <c r="Z1464" s="2027"/>
      <c r="AA1464" s="2027"/>
      <c r="AB1464" s="2027"/>
      <c r="AC1464" s="2027"/>
      <c r="AD1464" s="2027"/>
      <c r="AE1464" s="2027"/>
      <c r="AF1464" s="2027"/>
    </row>
    <row r="1465" spans="1:32" ht="15">
      <c r="A1465" s="2027"/>
      <c r="B1465" s="2027"/>
      <c r="C1465" s="2027"/>
      <c r="D1465" s="2027"/>
      <c r="E1465" s="2027"/>
      <c r="F1465" s="2027"/>
      <c r="G1465" s="2027"/>
      <c r="H1465" s="2027"/>
      <c r="I1465" s="2027"/>
      <c r="J1465" s="2027"/>
      <c r="K1465" s="2027"/>
      <c r="L1465" s="2027"/>
      <c r="M1465" s="2027"/>
      <c r="N1465" s="2016"/>
      <c r="O1465" s="2029"/>
      <c r="P1465" s="2029"/>
      <c r="Q1465" s="2027"/>
      <c r="R1465" s="2027"/>
      <c r="S1465" s="2027"/>
      <c r="T1465" s="2027"/>
      <c r="U1465" s="2027"/>
      <c r="V1465" s="2027"/>
      <c r="W1465" s="2027"/>
      <c r="X1465" s="2027"/>
      <c r="Y1465" s="2027"/>
      <c r="Z1465" s="2027"/>
      <c r="AA1465" s="2027"/>
      <c r="AB1465" s="2027"/>
      <c r="AC1465" s="2027"/>
      <c r="AD1465" s="2027"/>
      <c r="AE1465" s="2027"/>
      <c r="AF1465" s="2027"/>
    </row>
    <row r="1466" spans="1:32" ht="15">
      <c r="A1466" s="2461" t="s">
        <v>3286</v>
      </c>
      <c r="B1466" s="2462" t="s">
        <v>4851</v>
      </c>
      <c r="C1466" s="1997"/>
      <c r="D1466" s="2462"/>
      <c r="E1466" s="2462"/>
      <c r="F1466" s="1997"/>
      <c r="G1466" s="1997" t="str">
        <f>'Part VIII Scoring Criteria'!G317</f>
        <v>Atlanta Metro</v>
      </c>
      <c r="H1466" s="1997"/>
      <c r="I1466" s="1997"/>
      <c r="J1466" s="2810" t="str">
        <f t="shared" ref="J1466" si="430">IF(OR($O1466=$M1466,$O1466=0,$O1466=""),"","* * Check Score! * *")</f>
        <v/>
      </c>
      <c r="K1466" s="1997"/>
      <c r="L1466" s="2469" t="str">
        <f>IF(AND(O1466&gt;0,$J$12="Atlanta Metro"), "Atlanta Metro is ineligible to score in this section!","")</f>
        <v/>
      </c>
      <c r="M1466" s="2466">
        <v>1</v>
      </c>
      <c r="N1466" s="2011"/>
      <c r="O1466" s="2471">
        <f>'Part VIII Scoring Criteria'!O317</f>
        <v>0</v>
      </c>
      <c r="P1466" s="2471"/>
      <c r="Q1466" s="2466" t="s">
        <v>415</v>
      </c>
      <c r="R1466" s="1996"/>
      <c r="S1466" s="1996"/>
      <c r="T1466" s="1996"/>
      <c r="U1466" s="1996"/>
      <c r="V1466" s="1996"/>
      <c r="W1466" s="1997"/>
      <c r="X1466" s="1997"/>
      <c r="Y1466" s="1997"/>
      <c r="Z1466" s="1997"/>
      <c r="AA1466" s="1997"/>
      <c r="AB1466" s="1997"/>
      <c r="AC1466" s="1997"/>
      <c r="AD1466" s="1997"/>
      <c r="AE1466" s="1997"/>
      <c r="AF1466" s="1997"/>
    </row>
    <row r="1467" spans="1:32" ht="15">
      <c r="A1467" s="2461"/>
      <c r="B1467" s="2462"/>
      <c r="C1467" s="1997"/>
      <c r="D1467" s="2462"/>
      <c r="E1467" s="2462"/>
      <c r="F1467" s="1997"/>
      <c r="G1467" s="1997"/>
      <c r="H1467" s="1997"/>
      <c r="I1467" s="1997"/>
      <c r="J1467" s="1997"/>
      <c r="K1467" s="1997"/>
      <c r="L1467" s="1997"/>
      <c r="M1467" s="2466"/>
      <c r="N1467" s="1997"/>
      <c r="O1467" s="1997"/>
      <c r="P1467" s="1997"/>
      <c r="Q1467" s="2466"/>
      <c r="R1467" s="1996"/>
      <c r="S1467" s="1996"/>
      <c r="T1467" s="1996"/>
      <c r="U1467" s="1996"/>
      <c r="V1467" s="1996"/>
      <c r="W1467" s="2027"/>
      <c r="X1467" s="2027"/>
      <c r="Y1467" s="1997"/>
      <c r="Z1467" s="1997"/>
      <c r="AA1467" s="1997"/>
      <c r="AB1467" s="1997"/>
      <c r="AC1467" s="1997"/>
      <c r="AD1467" s="1997"/>
      <c r="AE1467" s="1997"/>
      <c r="AF1467" s="1997"/>
    </row>
    <row r="1468" spans="1:32" ht="14.1" customHeight="1">
      <c r="A1468" s="2461"/>
      <c r="B1468" s="2462"/>
      <c r="C1468" s="1997" t="s">
        <v>4933</v>
      </c>
      <c r="D1468" s="2462"/>
      <c r="E1468" s="2462"/>
      <c r="F1468" s="1997"/>
      <c r="G1468" s="1997"/>
      <c r="H1468" s="1997"/>
      <c r="I1468" s="1997"/>
      <c r="J1468" s="1997"/>
      <c r="K1468" s="1997"/>
      <c r="L1468" s="1997" t="s">
        <v>4935</v>
      </c>
      <c r="M1468" s="1997"/>
      <c r="N1468" s="1997"/>
      <c r="O1468" s="1997" t="s">
        <v>4936</v>
      </c>
      <c r="P1468" s="1997"/>
      <c r="Q1468" s="2466"/>
      <c r="R1468" s="1996"/>
      <c r="S1468" s="1996"/>
      <c r="T1468" s="1996"/>
      <c r="U1468" s="1996"/>
      <c r="V1468" s="1996"/>
      <c r="W1468" s="2027"/>
      <c r="X1468" s="2027"/>
      <c r="Y1468" s="1997"/>
      <c r="Z1468" s="1997"/>
      <c r="AA1468" s="1997"/>
      <c r="AB1468" s="1997"/>
      <c r="AC1468" s="1997"/>
      <c r="AD1468" s="1997"/>
      <c r="AE1468" s="1997"/>
      <c r="AF1468" s="1997"/>
    </row>
    <row r="1469" spans="1:32" ht="15">
      <c r="A1469" s="2461"/>
      <c r="B1469" s="1997"/>
      <c r="C1469" s="1997" t="s">
        <v>4934</v>
      </c>
      <c r="D1469" s="2462"/>
      <c r="E1469" s="2462"/>
      <c r="F1469" s="1997" t="s">
        <v>4121</v>
      </c>
      <c r="G1469" s="1997"/>
      <c r="H1469" s="1997"/>
      <c r="I1469" s="1997" t="s">
        <v>574</v>
      </c>
      <c r="J1469" s="1997"/>
      <c r="K1469" s="2011" t="s">
        <v>4744</v>
      </c>
      <c r="L1469" s="1997"/>
      <c r="M1469" s="1997"/>
      <c r="N1469" s="1997"/>
      <c r="O1469" s="1997"/>
      <c r="P1469" s="1997"/>
      <c r="Q1469" s="2466"/>
      <c r="R1469" s="1996"/>
      <c r="S1469" s="1996"/>
      <c r="T1469" s="1996"/>
      <c r="U1469" s="1996"/>
      <c r="V1469" s="1996"/>
      <c r="W1469" s="2027"/>
      <c r="X1469" s="2027"/>
      <c r="Y1469" s="1997"/>
      <c r="Z1469" s="1997"/>
      <c r="AA1469" s="1997"/>
      <c r="AB1469" s="1997"/>
      <c r="AC1469" s="1997"/>
      <c r="AD1469" s="1997"/>
      <c r="AE1469" s="1997"/>
      <c r="AF1469" s="1997"/>
    </row>
    <row r="1470" spans="1:32" ht="15">
      <c r="A1470" s="2461"/>
      <c r="B1470" s="2883" t="s">
        <v>1839</v>
      </c>
      <c r="C1470" s="2897">
        <f>'Part VIII Scoring Criteria'!C321</f>
        <v>0</v>
      </c>
      <c r="D1470" s="2897"/>
      <c r="E1470" s="2897"/>
      <c r="F1470" s="2897">
        <f>'Part VIII Scoring Criteria'!F321</f>
        <v>0</v>
      </c>
      <c r="G1470" s="2897"/>
      <c r="H1470" s="2897"/>
      <c r="I1470" s="2897">
        <f>'Part VIII Scoring Criteria'!I321</f>
        <v>0</v>
      </c>
      <c r="J1470" s="2897"/>
      <c r="K1470" s="2898">
        <f>'Part VIII Scoring Criteria'!K321</f>
        <v>0</v>
      </c>
      <c r="L1470" s="2897">
        <f>'Part VIII Scoring Criteria'!L321</f>
        <v>0</v>
      </c>
      <c r="M1470" s="2897"/>
      <c r="N1470" s="2880"/>
      <c r="O1470" s="2880">
        <f>'Part VIII Scoring Criteria'!O321</f>
        <v>0</v>
      </c>
      <c r="P1470" s="2880"/>
      <c r="Q1470" s="2466"/>
      <c r="R1470" s="1996"/>
      <c r="S1470" s="1996"/>
      <c r="T1470" s="1996"/>
      <c r="U1470" s="1996"/>
      <c r="V1470" s="1996"/>
      <c r="W1470" s="2027"/>
      <c r="X1470" s="2027"/>
      <c r="Y1470" s="1997"/>
      <c r="Z1470" s="1997"/>
      <c r="AA1470" s="1997"/>
      <c r="AB1470" s="1997"/>
      <c r="AC1470" s="1997"/>
      <c r="AD1470" s="1997"/>
      <c r="AE1470" s="1997"/>
      <c r="AF1470" s="1997"/>
    </row>
    <row r="1471" spans="1:32" ht="15">
      <c r="A1471" s="2461"/>
      <c r="B1471" s="2813" t="s">
        <v>1841</v>
      </c>
      <c r="C1471" s="2897">
        <f>'Part VIII Scoring Criteria'!C322</f>
        <v>0</v>
      </c>
      <c r="D1471" s="2897"/>
      <c r="E1471" s="2897"/>
      <c r="F1471" s="2897">
        <f>'Part VIII Scoring Criteria'!F322</f>
        <v>0</v>
      </c>
      <c r="G1471" s="2897"/>
      <c r="H1471" s="2897"/>
      <c r="I1471" s="2897">
        <f>'Part VIII Scoring Criteria'!I322</f>
        <v>0</v>
      </c>
      <c r="J1471" s="2897"/>
      <c r="K1471" s="2898">
        <f>'Part VIII Scoring Criteria'!K322</f>
        <v>0</v>
      </c>
      <c r="L1471" s="2897">
        <f>'Part VIII Scoring Criteria'!L322</f>
        <v>0</v>
      </c>
      <c r="M1471" s="2897"/>
      <c r="N1471" s="2880"/>
      <c r="O1471" s="2880">
        <f>'Part VIII Scoring Criteria'!O322</f>
        <v>0</v>
      </c>
      <c r="P1471" s="2880"/>
      <c r="Q1471" s="2466"/>
      <c r="R1471" s="1996"/>
      <c r="S1471" s="1996"/>
      <c r="T1471" s="1996"/>
      <c r="U1471" s="1996"/>
      <c r="V1471" s="1996"/>
      <c r="W1471" s="2027"/>
      <c r="X1471" s="2027"/>
      <c r="Y1471" s="1997"/>
      <c r="Z1471" s="1997"/>
      <c r="AA1471" s="1997"/>
      <c r="AB1471" s="1997"/>
      <c r="AC1471" s="1997"/>
      <c r="AD1471" s="1997"/>
      <c r="AE1471" s="1997"/>
      <c r="AF1471" s="1997"/>
    </row>
    <row r="1472" spans="1:32" ht="15">
      <c r="A1472" s="2461"/>
      <c r="B1472" s="2813" t="s">
        <v>2326</v>
      </c>
      <c r="C1472" s="2897">
        <f>'Part VIII Scoring Criteria'!C323</f>
        <v>0</v>
      </c>
      <c r="D1472" s="2897"/>
      <c r="E1472" s="2897"/>
      <c r="F1472" s="2897">
        <f>'Part VIII Scoring Criteria'!F323</f>
        <v>0</v>
      </c>
      <c r="G1472" s="2897"/>
      <c r="H1472" s="2897"/>
      <c r="I1472" s="2897">
        <f>'Part VIII Scoring Criteria'!I323</f>
        <v>0</v>
      </c>
      <c r="J1472" s="2897"/>
      <c r="K1472" s="2898">
        <f>'Part VIII Scoring Criteria'!K323</f>
        <v>0</v>
      </c>
      <c r="L1472" s="2897">
        <f>'Part VIII Scoring Criteria'!L323</f>
        <v>0</v>
      </c>
      <c r="M1472" s="2897"/>
      <c r="N1472" s="2880"/>
      <c r="O1472" s="2880">
        <f>'Part VIII Scoring Criteria'!O323</f>
        <v>0</v>
      </c>
      <c r="P1472" s="2880"/>
      <c r="Q1472" s="2466"/>
      <c r="R1472" s="1996"/>
      <c r="S1472" s="1996"/>
      <c r="T1472" s="1996"/>
      <c r="U1472" s="1996"/>
      <c r="V1472" s="1996"/>
      <c r="W1472" s="2027"/>
      <c r="X1472" s="2027"/>
      <c r="Y1472" s="1997"/>
      <c r="Z1472" s="1997"/>
      <c r="AA1472" s="1997"/>
      <c r="AB1472" s="1997"/>
      <c r="AC1472" s="1997"/>
      <c r="AD1472" s="1997"/>
      <c r="AE1472" s="1997"/>
      <c r="AF1472" s="1997"/>
    </row>
    <row r="1473" spans="1:32" ht="15">
      <c r="A1473" s="2461"/>
      <c r="B1473" s="2813" t="s">
        <v>1149</v>
      </c>
      <c r="C1473" s="2897">
        <f>'Part VIII Scoring Criteria'!C324</f>
        <v>0</v>
      </c>
      <c r="D1473" s="2897"/>
      <c r="E1473" s="2897"/>
      <c r="F1473" s="2897">
        <f>'Part VIII Scoring Criteria'!F324</f>
        <v>0</v>
      </c>
      <c r="G1473" s="2897"/>
      <c r="H1473" s="2897"/>
      <c r="I1473" s="2897">
        <f>'Part VIII Scoring Criteria'!I324</f>
        <v>0</v>
      </c>
      <c r="J1473" s="2897"/>
      <c r="K1473" s="2898">
        <f>'Part VIII Scoring Criteria'!K324</f>
        <v>0</v>
      </c>
      <c r="L1473" s="2897">
        <f>'Part VIII Scoring Criteria'!L324</f>
        <v>0</v>
      </c>
      <c r="M1473" s="2897"/>
      <c r="N1473" s="2880"/>
      <c r="O1473" s="2880">
        <f>'Part VIII Scoring Criteria'!O324</f>
        <v>0</v>
      </c>
      <c r="P1473" s="2880"/>
      <c r="Q1473" s="2466"/>
      <c r="R1473" s="1996"/>
      <c r="S1473" s="1996"/>
      <c r="T1473" s="1996"/>
      <c r="U1473" s="1996"/>
      <c r="V1473" s="1996"/>
      <c r="W1473" s="2027"/>
      <c r="X1473" s="2027"/>
      <c r="Y1473" s="1997"/>
      <c r="Z1473" s="1997"/>
      <c r="AA1473" s="1997"/>
      <c r="AB1473" s="1997"/>
      <c r="AC1473" s="1997"/>
      <c r="AD1473" s="1997"/>
      <c r="AE1473" s="1997"/>
      <c r="AF1473" s="1997"/>
    </row>
    <row r="1474" spans="1:32" ht="15">
      <c r="A1474" s="1997"/>
      <c r="B1474" s="2806" t="s">
        <v>5113</v>
      </c>
      <c r="C1474" s="1997"/>
      <c r="D1474" s="1997"/>
      <c r="E1474" s="1997"/>
      <c r="F1474" s="1997"/>
      <c r="G1474" s="1997"/>
      <c r="H1474" s="1997"/>
      <c r="I1474" s="1997"/>
      <c r="J1474" s="1997"/>
      <c r="K1474" s="1997"/>
      <c r="L1474" s="2027"/>
      <c r="M1474" s="2011"/>
      <c r="N1474" s="2016"/>
      <c r="O1474" s="2026"/>
      <c r="P1474" s="2029"/>
      <c r="Q1474" s="2027"/>
      <c r="R1474" s="1996"/>
      <c r="S1474" s="1996"/>
      <c r="T1474" s="1996"/>
      <c r="U1474" s="1996"/>
      <c r="V1474" s="1996"/>
      <c r="W1474" s="2027"/>
      <c r="X1474" s="2027"/>
      <c r="Y1474" s="2027"/>
      <c r="Z1474" s="2027"/>
      <c r="AA1474" s="2027"/>
      <c r="AB1474" s="2027"/>
      <c r="AC1474" s="2027"/>
      <c r="AD1474" s="2027"/>
      <c r="AE1474" s="2027"/>
      <c r="AF1474" s="2027"/>
    </row>
    <row r="1475" spans="1:32" ht="15">
      <c r="A1475" s="2821" t="str">
        <f>'Part VIII Scoring Criteria'!A326</f>
        <v>n/a for Atlanta Metro</v>
      </c>
      <c r="B1475" s="2821"/>
      <c r="C1475" s="2821"/>
      <c r="D1475" s="2821"/>
      <c r="E1475" s="2821"/>
      <c r="F1475" s="2821"/>
      <c r="G1475" s="2821"/>
      <c r="H1475" s="2821"/>
      <c r="I1475" s="2821"/>
      <c r="J1475" s="2821"/>
      <c r="K1475" s="2821"/>
      <c r="L1475" s="2821"/>
      <c r="M1475" s="2821"/>
      <c r="N1475" s="2821"/>
      <c r="O1475" s="2821"/>
      <c r="P1475" s="2821"/>
      <c r="Q1475" s="1996"/>
      <c r="R1475" s="2027"/>
      <c r="S1475" s="2027"/>
      <c r="T1475" s="2027"/>
      <c r="U1475" s="2027"/>
      <c r="V1475" s="2027"/>
      <c r="W1475" s="2027"/>
      <c r="X1475" s="2027"/>
      <c r="Y1475" s="2027"/>
      <c r="Z1475" s="2027"/>
      <c r="AA1475" s="2027"/>
      <c r="AB1475" s="2027"/>
      <c r="AC1475" s="2027"/>
      <c r="AD1475" s="2027"/>
      <c r="AE1475" s="2027"/>
      <c r="AF1475" s="2027"/>
    </row>
    <row r="1476" spans="1:32" ht="15">
      <c r="A1476" s="1997"/>
      <c r="B1476" s="2821" t="s">
        <v>1725</v>
      </c>
      <c r="C1476" s="1997"/>
      <c r="D1476" s="2821"/>
      <c r="E1476" s="2034"/>
      <c r="F1476" s="2034"/>
      <c r="G1476" s="2034"/>
      <c r="H1476" s="2034"/>
      <c r="I1476" s="2034"/>
      <c r="J1476" s="2034"/>
      <c r="K1476" s="2034"/>
      <c r="L1476" s="2034"/>
      <c r="M1476" s="2034"/>
      <c r="N1476" s="2032"/>
      <c r="O1476" s="2817"/>
      <c r="P1476" s="2466"/>
      <c r="Q1476" s="2027"/>
      <c r="R1476" s="2027"/>
      <c r="S1476" s="2027"/>
      <c r="T1476" s="2027"/>
      <c r="U1476" s="2027"/>
      <c r="V1476" s="2027"/>
      <c r="W1476" s="2027"/>
      <c r="X1476" s="2027"/>
      <c r="Y1476" s="2027"/>
      <c r="Z1476" s="2027"/>
      <c r="AA1476" s="2027"/>
      <c r="AB1476" s="2027"/>
      <c r="AC1476" s="2027"/>
      <c r="AD1476" s="2027"/>
      <c r="AE1476" s="2027"/>
      <c r="AF1476" s="2027"/>
    </row>
    <row r="1477" spans="1:32" ht="15">
      <c r="A1477" s="2033"/>
      <c r="B1477" s="2033"/>
      <c r="C1477" s="2033"/>
      <c r="D1477" s="2033"/>
      <c r="E1477" s="2033"/>
      <c r="F1477" s="2033"/>
      <c r="G1477" s="2033"/>
      <c r="H1477" s="2033"/>
      <c r="I1477" s="2033"/>
      <c r="J1477" s="2033"/>
      <c r="K1477" s="2033"/>
      <c r="L1477" s="2033"/>
      <c r="M1477" s="2033"/>
      <c r="N1477" s="2033"/>
      <c r="O1477" s="2033"/>
      <c r="P1477" s="2033"/>
      <c r="Q1477" s="1996"/>
      <c r="R1477" s="2027"/>
      <c r="S1477" s="2027"/>
      <c r="T1477" s="2027"/>
      <c r="U1477" s="2027"/>
      <c r="V1477" s="2027"/>
      <c r="W1477" s="2027"/>
      <c r="X1477" s="2027"/>
      <c r="Y1477" s="2027"/>
      <c r="Z1477" s="2027"/>
      <c r="AA1477" s="2027"/>
      <c r="AB1477" s="2027"/>
      <c r="AC1477" s="2027"/>
      <c r="AD1477" s="2027"/>
      <c r="AE1477" s="2027"/>
      <c r="AF1477" s="2027"/>
    </row>
    <row r="1478" spans="1:32" ht="15">
      <c r="A1478" s="1997"/>
      <c r="B1478" s="2027"/>
      <c r="C1478" s="2027"/>
      <c r="D1478" s="1997"/>
      <c r="E1478" s="1997"/>
      <c r="F1478" s="2466"/>
      <c r="G1478" s="2466"/>
      <c r="H1478" s="2466"/>
      <c r="I1478" s="2466"/>
      <c r="J1478" s="2030"/>
      <c r="K1478" s="2030"/>
      <c r="L1478" s="2030"/>
      <c r="M1478" s="2011"/>
      <c r="N1478" s="2466"/>
      <c r="O1478" s="2029"/>
      <c r="P1478" s="2026"/>
      <c r="Q1478" s="2027"/>
      <c r="R1478" s="2027"/>
      <c r="S1478" s="2027"/>
      <c r="T1478" s="2027"/>
      <c r="U1478" s="2027"/>
      <c r="V1478" s="2027"/>
      <c r="W1478" s="2027"/>
      <c r="X1478" s="2027"/>
      <c r="Y1478" s="2027"/>
      <c r="Z1478" s="2027"/>
      <c r="AA1478" s="2027"/>
      <c r="AB1478" s="2027"/>
      <c r="AC1478" s="2027"/>
      <c r="AD1478" s="2027"/>
      <c r="AE1478" s="2027"/>
      <c r="AF1478" s="2027"/>
    </row>
    <row r="1479" spans="1:32" ht="15">
      <c r="A1479" s="1997"/>
      <c r="B1479" s="2027"/>
      <c r="C1479" s="2027"/>
      <c r="D1479" s="1997"/>
      <c r="E1479" s="1997"/>
      <c r="F1479" s="2466"/>
      <c r="G1479" s="2466"/>
      <c r="H1479" s="2466"/>
      <c r="I1479" s="2466"/>
      <c r="J1479" s="2030"/>
      <c r="K1479" s="2030"/>
      <c r="L1479" s="2030"/>
      <c r="M1479" s="2011"/>
      <c r="N1479" s="2466"/>
      <c r="O1479" s="2029"/>
      <c r="P1479" s="2026"/>
      <c r="Q1479" s="2027"/>
      <c r="R1479" s="2027"/>
      <c r="S1479" s="2027"/>
      <c r="T1479" s="2027"/>
      <c r="U1479" s="2027"/>
      <c r="V1479" s="2027"/>
      <c r="W1479" s="2027"/>
      <c r="X1479" s="2027"/>
      <c r="Y1479" s="2027"/>
      <c r="Z1479" s="2027"/>
      <c r="AA1479" s="2027"/>
      <c r="AB1479" s="2027"/>
      <c r="AC1479" s="2027"/>
      <c r="AD1479" s="2027"/>
      <c r="AE1479" s="2027"/>
      <c r="AF1479" s="2027"/>
    </row>
    <row r="1480" spans="1:32" ht="15">
      <c r="A1480" s="2461" t="s">
        <v>3289</v>
      </c>
      <c r="B1480" s="2846" t="s">
        <v>3907</v>
      </c>
      <c r="C1480" s="2027"/>
      <c r="D1480" s="2027"/>
      <c r="E1480" s="2027"/>
      <c r="F1480" s="2027"/>
      <c r="G1480" s="2027"/>
      <c r="H1480" s="2027"/>
      <c r="I1480" s="2027"/>
      <c r="J1480" s="2027"/>
      <c r="K1480" s="2027"/>
      <c r="L1480" s="2027"/>
      <c r="M1480" s="2466">
        <v>1</v>
      </c>
      <c r="N1480" s="2016"/>
      <c r="O1480" s="2026">
        <f>'Part VIII Scoring Criteria'!O331</f>
        <v>1</v>
      </c>
      <c r="P1480" s="2026">
        <f>'Part VIII Scoring Criteria'!P331</f>
        <v>0</v>
      </c>
      <c r="Q1480" s="2466" t="s">
        <v>415</v>
      </c>
      <c r="R1480" s="2812" t="str">
        <f>IF(AND(O1480&gt;0,NOT($F$12="New Affordability")), "Ineligible to score in this section, not New Affordability!","")</f>
        <v>Ineligible to score in this section, not New Affordability!</v>
      </c>
      <c r="S1480" s="2027"/>
      <c r="T1480" s="2027"/>
      <c r="U1480" s="2027"/>
      <c r="V1480" s="2027"/>
      <c r="W1480" s="2027"/>
      <c r="X1480" s="2027"/>
      <c r="Y1480" s="2027"/>
      <c r="Z1480" s="2027"/>
      <c r="AA1480" s="2027"/>
      <c r="AB1480" s="2027"/>
      <c r="AC1480" s="2027"/>
      <c r="AD1480" s="2027"/>
      <c r="AE1480" s="2027"/>
      <c r="AF1480" s="2027"/>
    </row>
    <row r="1481" spans="1:32" ht="15">
      <c r="A1481" s="2466" t="s">
        <v>1836</v>
      </c>
      <c r="B1481" s="2035" t="s">
        <v>4926</v>
      </c>
      <c r="C1481" s="2027"/>
      <c r="D1481" s="2027"/>
      <c r="E1481" s="2027"/>
      <c r="F1481" s="2027"/>
      <c r="G1481" s="2842" t="s">
        <v>3068</v>
      </c>
      <c r="H1481" s="2899">
        <f>IF('Part V-Revenues &amp; Expenses'!$P$67=0,0,'Part V-Revenues &amp; Expenses'!$P$64/'Part V-Revenues &amp; Expenses'!$P$67)</f>
        <v>0.25</v>
      </c>
      <c r="I1481" s="2027"/>
      <c r="J1481" s="2027"/>
      <c r="K1481" s="2027"/>
      <c r="L1481" s="2810" t="str">
        <f t="shared" ref="L1481:L1482" si="431">IF(OR($O1481=$M1481,$O1481=0,$O1481=""),"","* * Check Score! * *")</f>
        <v/>
      </c>
      <c r="M1481" s="2011">
        <v>1</v>
      </c>
      <c r="N1481" s="2464"/>
      <c r="O1481" s="2026">
        <f>'Part VIII Scoring Criteria'!O332</f>
        <v>1</v>
      </c>
      <c r="P1481" s="2026"/>
      <c r="Q1481" s="2811" t="str">
        <f>IF(OR($O1481=$M1481,$O1481=0,$O1481=""),"","*CHECK!*")</f>
        <v/>
      </c>
      <c r="R1481" s="2812"/>
      <c r="S1481" s="2027"/>
      <c r="T1481" s="2027"/>
      <c r="U1481" s="2027"/>
      <c r="V1481" s="2027"/>
      <c r="W1481" s="2027"/>
      <c r="X1481" s="2027"/>
      <c r="Y1481" s="2027"/>
      <c r="Z1481" s="2027"/>
      <c r="AA1481" s="2027"/>
      <c r="AB1481" s="2027"/>
      <c r="AC1481" s="2027"/>
      <c r="AD1481" s="2027"/>
      <c r="AE1481" s="2027"/>
      <c r="AF1481" s="2027"/>
    </row>
    <row r="1482" spans="1:32" ht="15">
      <c r="A1482" s="2466" t="s">
        <v>1838</v>
      </c>
      <c r="B1482" s="2035" t="s">
        <v>3690</v>
      </c>
      <c r="C1482" s="2027"/>
      <c r="D1482" s="2027"/>
      <c r="E1482" s="2027"/>
      <c r="F1482" s="2027"/>
      <c r="G1482" s="2900" t="str">
        <f>'Part V-Revenues &amp; Expenses'!$O$53</f>
        <v>40% of Units at 60% of AMI</v>
      </c>
      <c r="H1482" s="2900"/>
      <c r="I1482" s="2027"/>
      <c r="J1482" s="2027"/>
      <c r="K1482" s="2027"/>
      <c r="L1482" s="2810" t="str">
        <f t="shared" si="431"/>
        <v/>
      </c>
      <c r="M1482" s="2016">
        <v>1</v>
      </c>
      <c r="N1482" s="2464"/>
      <c r="O1482" s="2026">
        <f>'Part VIII Scoring Criteria'!O333</f>
        <v>0</v>
      </c>
      <c r="P1482" s="2026"/>
      <c r="Q1482" s="2811" t="str">
        <f>IF(OR($O1482=$M1482,$O1482=0,$O1482=""),"","*CHECK!*")</f>
        <v/>
      </c>
      <c r="R1482" s="2812"/>
      <c r="S1482" s="2027"/>
      <c r="T1482" s="2027"/>
      <c r="U1482" s="2027"/>
      <c r="V1482" s="2027"/>
      <c r="W1482" s="2027"/>
      <c r="X1482" s="2027"/>
      <c r="Y1482" s="2027"/>
      <c r="Z1482" s="2027"/>
      <c r="AA1482" s="2027"/>
      <c r="AB1482" s="2027"/>
      <c r="AC1482" s="2027"/>
      <c r="AD1482" s="2027"/>
      <c r="AE1482" s="2027"/>
      <c r="AF1482" s="2027"/>
    </row>
    <row r="1483" spans="1:32" ht="15">
      <c r="A1483" s="2035"/>
      <c r="B1483" s="2813"/>
      <c r="C1483" s="2027"/>
      <c r="D1483" s="2027"/>
      <c r="E1483" s="2027"/>
      <c r="F1483" s="2027"/>
      <c r="G1483" s="2027"/>
      <c r="H1483" s="2027"/>
      <c r="I1483" s="2027"/>
      <c r="J1483" s="2027"/>
      <c r="K1483" s="2027"/>
      <c r="L1483" s="2027"/>
      <c r="M1483" s="2011"/>
      <c r="N1483" s="2016"/>
      <c r="O1483" s="2466"/>
      <c r="P1483" s="2466"/>
      <c r="Q1483" s="2027"/>
      <c r="R1483" s="2027"/>
      <c r="S1483" s="2027"/>
      <c r="T1483" s="2027"/>
      <c r="U1483" s="2027"/>
      <c r="V1483" s="2027"/>
      <c r="W1483" s="2027"/>
      <c r="X1483" s="2027"/>
      <c r="Y1483" s="2027"/>
      <c r="Z1483" s="2027"/>
      <c r="AA1483" s="2027"/>
      <c r="AB1483" s="2027"/>
      <c r="AC1483" s="2027"/>
      <c r="AD1483" s="2027"/>
      <c r="AE1483" s="2027"/>
      <c r="AF1483" s="2027"/>
    </row>
    <row r="1484" spans="1:32" ht="15">
      <c r="A1484" s="1997"/>
      <c r="B1484" s="2821" t="s">
        <v>1725</v>
      </c>
      <c r="C1484" s="1997"/>
      <c r="D1484" s="2821"/>
      <c r="E1484" s="2034"/>
      <c r="F1484" s="2034"/>
      <c r="G1484" s="2034"/>
      <c r="H1484" s="2034"/>
      <c r="I1484" s="2034"/>
      <c r="J1484" s="2034"/>
      <c r="K1484" s="2034"/>
      <c r="L1484" s="2034"/>
      <c r="M1484" s="2034"/>
      <c r="N1484" s="2032"/>
      <c r="O1484" s="2817"/>
      <c r="P1484" s="2466"/>
      <c r="Q1484" s="2027"/>
      <c r="R1484" s="2027"/>
      <c r="S1484" s="2027"/>
      <c r="T1484" s="2027"/>
      <c r="U1484" s="2027"/>
      <c r="V1484" s="2027"/>
      <c r="W1484" s="2027"/>
      <c r="X1484" s="2027"/>
      <c r="Y1484" s="2027"/>
      <c r="Z1484" s="2027"/>
      <c r="AA1484" s="2027"/>
      <c r="AB1484" s="2027"/>
      <c r="AC1484" s="2027"/>
      <c r="AD1484" s="2027"/>
      <c r="AE1484" s="2027"/>
      <c r="AF1484" s="2027"/>
    </row>
    <row r="1485" spans="1:32" ht="15">
      <c r="A1485" s="2033"/>
      <c r="B1485" s="2033"/>
      <c r="C1485" s="2033"/>
      <c r="D1485" s="2033"/>
      <c r="E1485" s="2033"/>
      <c r="F1485" s="2033"/>
      <c r="G1485" s="2033"/>
      <c r="H1485" s="2033"/>
      <c r="I1485" s="2033"/>
      <c r="J1485" s="2033"/>
      <c r="K1485" s="2033"/>
      <c r="L1485" s="2033"/>
      <c r="M1485" s="2033"/>
      <c r="N1485" s="2033"/>
      <c r="O1485" s="2033"/>
      <c r="P1485" s="2033"/>
      <c r="Q1485" s="1996"/>
      <c r="R1485" s="2027"/>
      <c r="S1485" s="2027"/>
      <c r="T1485" s="2027"/>
      <c r="U1485" s="2027"/>
      <c r="V1485" s="2027"/>
      <c r="W1485" s="2027"/>
      <c r="X1485" s="2027"/>
      <c r="Y1485" s="2027"/>
      <c r="Z1485" s="2027"/>
      <c r="AA1485" s="2027"/>
      <c r="AB1485" s="2027"/>
      <c r="AC1485" s="2027"/>
      <c r="AD1485" s="2027"/>
      <c r="AE1485" s="2027"/>
      <c r="AF1485" s="2027"/>
    </row>
    <row r="1486" spans="1:32" ht="15">
      <c r="A1486" s="1997"/>
      <c r="B1486" s="2027"/>
      <c r="C1486" s="2027"/>
      <c r="D1486" s="1997"/>
      <c r="E1486" s="1997"/>
      <c r="F1486" s="2466"/>
      <c r="G1486" s="2466"/>
      <c r="H1486" s="2466"/>
      <c r="I1486" s="2466"/>
      <c r="J1486" s="2030"/>
      <c r="K1486" s="2030"/>
      <c r="L1486" s="2030"/>
      <c r="M1486" s="2011"/>
      <c r="N1486" s="2466"/>
      <c r="O1486" s="2029"/>
      <c r="P1486" s="2026"/>
      <c r="Q1486" s="2027"/>
      <c r="R1486" s="2027"/>
      <c r="S1486" s="2027"/>
      <c r="T1486" s="2027"/>
      <c r="U1486" s="2027"/>
      <c r="V1486" s="2027"/>
      <c r="W1486" s="2027"/>
      <c r="X1486" s="2027"/>
      <c r="Y1486" s="2027"/>
      <c r="Z1486" s="2027"/>
      <c r="AA1486" s="2027"/>
      <c r="AB1486" s="2027"/>
      <c r="AC1486" s="2027"/>
      <c r="AD1486" s="2027"/>
      <c r="AE1486" s="2027"/>
      <c r="AF1486" s="2027"/>
    </row>
    <row r="1487" spans="1:32" ht="15">
      <c r="A1487" s="1997"/>
      <c r="B1487" s="1997"/>
      <c r="C1487" s="2034"/>
      <c r="D1487" s="2034"/>
      <c r="E1487" s="2034"/>
      <c r="F1487" s="2034"/>
      <c r="G1487" s="2034"/>
      <c r="H1487" s="2034"/>
      <c r="I1487" s="2034"/>
      <c r="J1487" s="2034"/>
      <c r="K1487" s="2034"/>
      <c r="L1487" s="2034"/>
      <c r="M1487" s="2034"/>
      <c r="N1487" s="2032"/>
      <c r="O1487" s="2817"/>
      <c r="P1487" s="2466"/>
      <c r="Q1487" s="2027"/>
      <c r="R1487" s="2027"/>
      <c r="S1487" s="2027"/>
      <c r="T1487" s="2027"/>
      <c r="U1487" s="2027"/>
      <c r="V1487" s="2027"/>
      <c r="W1487" s="2027"/>
      <c r="X1487" s="2027"/>
      <c r="Y1487" s="2027"/>
      <c r="Z1487" s="2027"/>
      <c r="AA1487" s="2027"/>
      <c r="AB1487" s="2027"/>
      <c r="AC1487" s="2027"/>
      <c r="AD1487" s="2027"/>
      <c r="AE1487" s="2027"/>
      <c r="AF1487" s="2027"/>
    </row>
    <row r="1488" spans="1:32" ht="15">
      <c r="A1488" s="2461" t="s">
        <v>3290</v>
      </c>
      <c r="B1488" s="2462" t="s">
        <v>2462</v>
      </c>
      <c r="C1488" s="2027"/>
      <c r="D1488" s="2030"/>
      <c r="E1488" s="2027"/>
      <c r="F1488" s="2027"/>
      <c r="G1488" s="2034"/>
      <c r="H1488" s="2034"/>
      <c r="I1488" s="2034"/>
      <c r="J1488" s="2034"/>
      <c r="K1488" s="2034"/>
      <c r="L1488" s="2034"/>
      <c r="M1488" s="2466">
        <v>2</v>
      </c>
      <c r="N1488" s="2464"/>
      <c r="O1488" s="2026">
        <f>'Part VIII Scoring Criteria'!O339</f>
        <v>0</v>
      </c>
      <c r="P1488" s="2026">
        <f>'Part VIII Scoring Criteria'!P339</f>
        <v>0</v>
      </c>
      <c r="Q1488" s="2466" t="s">
        <v>415</v>
      </c>
      <c r="R1488" s="2812" t="str">
        <f>IF(AND(O1488&gt;0,NOT($F$12="New Affordability")), "Ineligible to score in this section, not New Affordability!","")</f>
        <v/>
      </c>
      <c r="S1488" s="2027"/>
      <c r="T1488" s="2027"/>
      <c r="U1488" s="2027"/>
      <c r="V1488" s="2027"/>
      <c r="W1488" s="2027"/>
      <c r="X1488" s="2027"/>
      <c r="Y1488" s="2027"/>
      <c r="Z1488" s="2027"/>
      <c r="AA1488" s="2027"/>
      <c r="AB1488" s="2027"/>
      <c r="AC1488" s="2027"/>
      <c r="AD1488" s="2027"/>
      <c r="AE1488" s="2027"/>
      <c r="AF1488" s="2027"/>
    </row>
    <row r="1489" spans="1:32" ht="14.25">
      <c r="A1489" s="2846"/>
      <c r="B1489" s="2033"/>
      <c r="C1489" s="2033"/>
      <c r="D1489" s="2033"/>
      <c r="E1489" s="2867" t="s">
        <v>2988</v>
      </c>
      <c r="F1489" s="2033"/>
      <c r="G1489" s="1997" t="str">
        <f>'Part VIII Scoring Criteria'!G340</f>
        <v>&lt;Select applicable status&gt;</v>
      </c>
      <c r="H1489" s="1997"/>
      <c r="I1489" s="1997"/>
      <c r="J1489" s="1997"/>
      <c r="K1489" s="1997"/>
      <c r="L1489" s="1997"/>
      <c r="M1489" s="2032"/>
      <c r="N1489" s="2032"/>
      <c r="O1489" s="2032"/>
      <c r="P1489" s="2032"/>
      <c r="Q1489" s="1997"/>
      <c r="R1489" s="2033"/>
      <c r="S1489" s="2033"/>
      <c r="T1489" s="2033"/>
      <c r="U1489" s="2033"/>
      <c r="V1489" s="2033"/>
      <c r="W1489" s="2033"/>
      <c r="X1489" s="2033"/>
      <c r="Y1489" s="2033"/>
      <c r="Z1489" s="2033"/>
      <c r="AA1489" s="2033"/>
      <c r="AB1489" s="2033"/>
      <c r="AC1489" s="2033"/>
      <c r="AD1489" s="2033"/>
      <c r="AE1489" s="2033"/>
      <c r="AF1489" s="2033"/>
    </row>
    <row r="1490" spans="1:32" ht="15">
      <c r="A1490" s="2829" t="s">
        <v>1836</v>
      </c>
      <c r="B1490" s="1996" t="s">
        <v>3831</v>
      </c>
      <c r="C1490" s="2033"/>
      <c r="D1490" s="2033"/>
      <c r="E1490" s="2033"/>
      <c r="F1490" s="2033"/>
      <c r="G1490" s="2033"/>
      <c r="H1490" s="2033"/>
      <c r="I1490" s="2033"/>
      <c r="J1490" s="2033"/>
      <c r="K1490" s="2033"/>
      <c r="L1490" s="2810" t="str">
        <f t="shared" ref="L1490" si="432">IF(OR($O1490=$M1490,$O1490=0,$O1490=""),"","* * Check Score! * *")</f>
        <v/>
      </c>
      <c r="M1490" s="2032">
        <v>2</v>
      </c>
      <c r="N1490" s="2818"/>
      <c r="O1490" s="2026">
        <f>'Part VIII Scoring Criteria'!O341</f>
        <v>0</v>
      </c>
      <c r="P1490" s="2026"/>
      <c r="Q1490" s="2811" t="str">
        <f>IF(OR($O1490=$M1490,$O1490=0,$O1490=""),"","*CHECK!*")</f>
        <v/>
      </c>
      <c r="R1490" s="2812"/>
      <c r="S1490" s="2033"/>
      <c r="T1490" s="2033"/>
      <c r="U1490" s="2033"/>
      <c r="V1490" s="2033"/>
      <c r="W1490" s="2033"/>
      <c r="X1490" s="2033"/>
      <c r="Y1490" s="2033"/>
      <c r="Z1490" s="2033"/>
      <c r="AA1490" s="2033"/>
      <c r="AB1490" s="2033"/>
      <c r="AC1490" s="2033"/>
      <c r="AD1490" s="2033"/>
      <c r="AE1490" s="2033"/>
      <c r="AF1490" s="2033"/>
    </row>
    <row r="1491" spans="1:32" ht="14.1" customHeight="1">
      <c r="A1491" s="2029"/>
      <c r="B1491" s="2033" t="str">
        <f>'Part VIII Scoring Criteria'!B342</f>
        <v>&lt;&lt; Enter here Applicant's Narrative of how building will be reused. Adjust row height as needed. &gt;&gt;</v>
      </c>
      <c r="C1491" s="2033"/>
      <c r="D1491" s="2033"/>
      <c r="E1491" s="2033"/>
      <c r="F1491" s="2033"/>
      <c r="G1491" s="2033"/>
      <c r="H1491" s="2033"/>
      <c r="I1491" s="2033"/>
      <c r="J1491" s="2033"/>
      <c r="K1491" s="2033"/>
      <c r="L1491" s="2033"/>
      <c r="M1491" s="2033"/>
      <c r="N1491" s="2033"/>
      <c r="O1491" s="2033"/>
      <c r="P1491" s="2033"/>
      <c r="Q1491" s="1996"/>
      <c r="R1491" s="1996"/>
      <c r="S1491" s="1996"/>
      <c r="T1491" s="2027"/>
      <c r="U1491" s="2027"/>
      <c r="V1491" s="2027"/>
      <c r="W1491" s="2027"/>
      <c r="X1491" s="2027"/>
      <c r="Y1491" s="2027"/>
      <c r="Z1491" s="2027"/>
      <c r="AA1491" s="2027"/>
      <c r="AB1491" s="2027"/>
      <c r="AC1491" s="2027"/>
      <c r="AD1491" s="2027"/>
      <c r="AE1491" s="2027"/>
      <c r="AF1491" s="2027"/>
    </row>
    <row r="1492" spans="1:32" ht="15">
      <c r="A1492" s="2892" t="s">
        <v>1838</v>
      </c>
      <c r="B1492" s="2800" t="s">
        <v>3832</v>
      </c>
      <c r="C1492" s="2033"/>
      <c r="D1492" s="2033"/>
      <c r="E1492" s="2033"/>
      <c r="F1492" s="2033"/>
      <c r="G1492" s="2033"/>
      <c r="H1492" s="2033"/>
      <c r="I1492" s="2033"/>
      <c r="J1492" s="2033"/>
      <c r="K1492" s="2033"/>
      <c r="L1492" s="2810" t="str">
        <f t="shared" ref="L1492" si="433">IF(OR($O1492=$M1492,$O1492=0,$O1492=""),"","* * Check Score! * *")</f>
        <v/>
      </c>
      <c r="M1492" s="2032">
        <v>2</v>
      </c>
      <c r="N1492" s="2818"/>
      <c r="O1492" s="2026">
        <f>'Part VIII Scoring Criteria'!O343</f>
        <v>0</v>
      </c>
      <c r="P1492" s="2026"/>
      <c r="Q1492" s="2811" t="str">
        <f>IF(OR($O1492=$M1492,$O1492=0,$O1492=""),"","*CHECK!*")</f>
        <v/>
      </c>
      <c r="R1492" s="2812"/>
      <c r="S1492" s="2033"/>
      <c r="T1492" s="2033"/>
      <c r="U1492" s="2033"/>
      <c r="V1492" s="2033"/>
      <c r="W1492" s="2033"/>
      <c r="X1492" s="2033"/>
      <c r="Y1492" s="2033"/>
      <c r="Z1492" s="2033"/>
      <c r="AA1492" s="2033"/>
      <c r="AB1492" s="2033"/>
      <c r="AC1492" s="2033"/>
      <c r="AD1492" s="2033"/>
      <c r="AE1492" s="2033"/>
      <c r="AF1492" s="2033"/>
    </row>
    <row r="1493" spans="1:32" ht="15">
      <c r="A1493" s="1997"/>
      <c r="B1493" s="2806" t="s">
        <v>5113</v>
      </c>
      <c r="C1493" s="1997"/>
      <c r="D1493" s="1997"/>
      <c r="E1493" s="1997"/>
      <c r="F1493" s="1997"/>
      <c r="G1493" s="1997"/>
      <c r="H1493" s="1997"/>
      <c r="I1493" s="1997"/>
      <c r="J1493" s="1997"/>
      <c r="K1493" s="1997"/>
      <c r="L1493" s="2027"/>
      <c r="M1493" s="2011"/>
      <c r="N1493" s="2016"/>
      <c r="O1493" s="2026"/>
      <c r="P1493" s="2029"/>
      <c r="Q1493" s="2027"/>
      <c r="R1493" s="2027"/>
      <c r="S1493" s="2027"/>
      <c r="T1493" s="2027"/>
      <c r="U1493" s="2027"/>
      <c r="V1493" s="2027"/>
      <c r="W1493" s="2027"/>
      <c r="X1493" s="2027"/>
      <c r="Y1493" s="2027"/>
      <c r="Z1493" s="2027"/>
      <c r="AA1493" s="2027"/>
      <c r="AB1493" s="2027"/>
      <c r="AC1493" s="2027"/>
      <c r="AD1493" s="2027"/>
      <c r="AE1493" s="2027"/>
      <c r="AF1493" s="2027"/>
    </row>
    <row r="1494" spans="1:32" ht="15">
      <c r="A1494" s="2821" t="str">
        <f>'Part VIII Scoring Criteria'!A345</f>
        <v>n/a</v>
      </c>
      <c r="B1494" s="2821"/>
      <c r="C1494" s="2821"/>
      <c r="D1494" s="2821"/>
      <c r="E1494" s="2821"/>
      <c r="F1494" s="2821"/>
      <c r="G1494" s="2821"/>
      <c r="H1494" s="2821"/>
      <c r="I1494" s="2821"/>
      <c r="J1494" s="2821"/>
      <c r="K1494" s="2821"/>
      <c r="L1494" s="2821"/>
      <c r="M1494" s="2821"/>
      <c r="N1494" s="2821"/>
      <c r="O1494" s="2821"/>
      <c r="P1494" s="2821"/>
      <c r="Q1494" s="1996"/>
      <c r="R1494" s="1996"/>
      <c r="S1494" s="2027"/>
      <c r="T1494" s="2027"/>
      <c r="U1494" s="2027"/>
      <c r="V1494" s="2027"/>
      <c r="W1494" s="2027"/>
      <c r="X1494" s="2027"/>
      <c r="Y1494" s="2027"/>
      <c r="Z1494" s="2027"/>
      <c r="AA1494" s="2027"/>
      <c r="AB1494" s="2027"/>
      <c r="AC1494" s="2027"/>
      <c r="AD1494" s="2027"/>
      <c r="AE1494" s="2027"/>
      <c r="AF1494" s="2027"/>
    </row>
    <row r="1495" spans="1:32" ht="15">
      <c r="A1495" s="2027"/>
      <c r="B1495" s="2821" t="s">
        <v>1725</v>
      </c>
      <c r="C1495" s="1997"/>
      <c r="D1495" s="2821"/>
      <c r="E1495" s="2034"/>
      <c r="F1495" s="2034"/>
      <c r="G1495" s="2034"/>
      <c r="H1495" s="2034"/>
      <c r="I1495" s="2034"/>
      <c r="J1495" s="2034"/>
      <c r="K1495" s="2034"/>
      <c r="L1495" s="2034"/>
      <c r="M1495" s="2034"/>
      <c r="N1495" s="2032"/>
      <c r="O1495" s="2817"/>
      <c r="P1495" s="2466"/>
      <c r="Q1495" s="2027"/>
      <c r="R1495" s="2027"/>
      <c r="S1495" s="2027"/>
      <c r="T1495" s="2027"/>
      <c r="U1495" s="2027"/>
      <c r="V1495" s="2027"/>
      <c r="W1495" s="2027"/>
      <c r="X1495" s="2027"/>
      <c r="Y1495" s="2027"/>
      <c r="Z1495" s="2027"/>
      <c r="AA1495" s="2027"/>
      <c r="AB1495" s="2027"/>
      <c r="AC1495" s="2027"/>
      <c r="AD1495" s="2027"/>
      <c r="AE1495" s="2027"/>
      <c r="AF1495" s="2027"/>
    </row>
    <row r="1496" spans="1:32" ht="15">
      <c r="A1496" s="2033"/>
      <c r="B1496" s="2033"/>
      <c r="C1496" s="2033"/>
      <c r="D1496" s="2033"/>
      <c r="E1496" s="2033"/>
      <c r="F1496" s="2033"/>
      <c r="G1496" s="2033"/>
      <c r="H1496" s="2033"/>
      <c r="I1496" s="2033"/>
      <c r="J1496" s="2033"/>
      <c r="K1496" s="2033"/>
      <c r="L1496" s="2033"/>
      <c r="M1496" s="2033"/>
      <c r="N1496" s="2033"/>
      <c r="O1496" s="2033"/>
      <c r="P1496" s="2033"/>
      <c r="Q1496" s="1996"/>
      <c r="R1496" s="2027"/>
      <c r="S1496" s="2027"/>
      <c r="T1496" s="2027"/>
      <c r="U1496" s="2027"/>
      <c r="V1496" s="2027"/>
      <c r="W1496" s="2027"/>
      <c r="X1496" s="2027"/>
      <c r="Y1496" s="2027"/>
      <c r="Z1496" s="2027"/>
      <c r="AA1496" s="2027"/>
      <c r="AB1496" s="2027"/>
      <c r="AC1496" s="2027"/>
      <c r="AD1496" s="2027"/>
      <c r="AE1496" s="2027"/>
      <c r="AF1496" s="2027"/>
    </row>
    <row r="1497" spans="1:32" ht="15">
      <c r="A1497" s="1997"/>
      <c r="B1497" s="1997"/>
      <c r="C1497" s="2034"/>
      <c r="D1497" s="2034"/>
      <c r="E1497" s="2034"/>
      <c r="F1497" s="2034"/>
      <c r="G1497" s="2034"/>
      <c r="H1497" s="2034"/>
      <c r="I1497" s="2034"/>
      <c r="J1497" s="2034"/>
      <c r="K1497" s="2034"/>
      <c r="L1497" s="2034"/>
      <c r="M1497" s="2034"/>
      <c r="N1497" s="2032"/>
      <c r="O1497" s="2817"/>
      <c r="P1497" s="2466"/>
      <c r="Q1497" s="2027"/>
      <c r="R1497" s="2027"/>
      <c r="S1497" s="2027"/>
      <c r="T1497" s="2027"/>
      <c r="U1497" s="2027"/>
      <c r="V1497" s="2027"/>
      <c r="W1497" s="2027"/>
      <c r="X1497" s="2027"/>
      <c r="Y1497" s="2027"/>
      <c r="Z1497" s="2027"/>
      <c r="AA1497" s="2027"/>
      <c r="AB1497" s="2027"/>
      <c r="AC1497" s="2027"/>
      <c r="AD1497" s="2027"/>
      <c r="AE1497" s="2027"/>
      <c r="AF1497" s="2027"/>
    </row>
    <row r="1498" spans="1:32" ht="15">
      <c r="A1498" s="1997"/>
      <c r="B1498" s="2027"/>
      <c r="C1498" s="2027"/>
      <c r="D1498" s="1997"/>
      <c r="E1498" s="1997"/>
      <c r="F1498" s="2466"/>
      <c r="G1498" s="2466"/>
      <c r="H1498" s="2466"/>
      <c r="I1498" s="2466"/>
      <c r="J1498" s="2030"/>
      <c r="K1498" s="2030"/>
      <c r="L1498" s="2030"/>
      <c r="M1498" s="2011"/>
      <c r="N1498" s="2466"/>
      <c r="O1498" s="2029"/>
      <c r="P1498" s="2026"/>
      <c r="Q1498" s="2027"/>
      <c r="R1498" s="2027"/>
      <c r="S1498" s="2027"/>
      <c r="T1498" s="2027"/>
      <c r="U1498" s="2027"/>
      <c r="V1498" s="2027"/>
      <c r="W1498" s="2027"/>
      <c r="X1498" s="2027"/>
      <c r="Y1498" s="2027"/>
      <c r="Z1498" s="2027"/>
      <c r="AA1498" s="2027"/>
      <c r="AB1498" s="2027"/>
      <c r="AC1498" s="2027"/>
      <c r="AD1498" s="2027"/>
      <c r="AE1498" s="2027"/>
      <c r="AF1498" s="2027"/>
    </row>
    <row r="1499" spans="1:32" ht="15">
      <c r="A1499" s="2461" t="s">
        <v>3291</v>
      </c>
      <c r="B1499" s="2462" t="s">
        <v>4480</v>
      </c>
      <c r="C1499" s="1997"/>
      <c r="D1499" s="2462"/>
      <c r="E1499" s="2462"/>
      <c r="F1499" s="1997"/>
      <c r="G1499" s="2822"/>
      <c r="H1499" s="1997"/>
      <c r="I1499" s="1997"/>
      <c r="J1499" s="1997"/>
      <c r="K1499" s="1997"/>
      <c r="L1499" s="1997"/>
      <c r="M1499" s="2466">
        <v>2</v>
      </c>
      <c r="N1499" s="2011"/>
      <c r="O1499" s="2026">
        <f>'Part VIII Scoring Criteria'!O350</f>
        <v>2</v>
      </c>
      <c r="P1499" s="2026">
        <f>'Part VIII Scoring Criteria'!P350</f>
        <v>0</v>
      </c>
      <c r="Q1499" s="2466" t="s">
        <v>415</v>
      </c>
      <c r="R1499" s="1996"/>
      <c r="S1499" s="1996"/>
      <c r="T1499" s="1996"/>
      <c r="U1499" s="1996"/>
      <c r="V1499" s="1996"/>
      <c r="W1499" s="1997"/>
      <c r="X1499" s="1997"/>
      <c r="Y1499" s="1997"/>
      <c r="Z1499" s="1997"/>
      <c r="AA1499" s="1997"/>
      <c r="AB1499" s="1997"/>
      <c r="AC1499" s="1997"/>
      <c r="AD1499" s="1997"/>
      <c r="AE1499" s="1997"/>
      <c r="AF1499" s="1997"/>
    </row>
    <row r="1500" spans="1:32" ht="15">
      <c r="A1500" s="2466" t="s">
        <v>1836</v>
      </c>
      <c r="B1500" s="2826" t="s">
        <v>4481</v>
      </c>
      <c r="C1500" s="2027"/>
      <c r="D1500" s="2034"/>
      <c r="E1500" s="2841" t="s">
        <v>4492</v>
      </c>
      <c r="F1500" s="2034"/>
      <c r="G1500" s="2034"/>
      <c r="H1500" s="2027">
        <f>'Part VIII Scoring Criteria'!H351</f>
        <v>0</v>
      </c>
      <c r="I1500" s="2027"/>
      <c r="J1500" s="2027"/>
      <c r="K1500" s="2027"/>
      <c r="L1500" s="2810" t="str">
        <f t="shared" ref="L1500:L1501" si="434">IF(OR($O1500=$M1500,$O1500=0,$O1500=""),"","* * Check Score! * *")</f>
        <v/>
      </c>
      <c r="M1500" s="2016">
        <v>2</v>
      </c>
      <c r="N1500" s="2464"/>
      <c r="O1500" s="2026">
        <f>'Part VIII Scoring Criteria'!O351</f>
        <v>0</v>
      </c>
      <c r="P1500" s="2026"/>
      <c r="Q1500" s="2029" t="str">
        <f>IF(OR(O1500=0,O1500="",O1500=$M1500),"","Check!")</f>
        <v/>
      </c>
      <c r="R1500" s="2812"/>
      <c r="S1500" s="1996"/>
      <c r="T1500" s="1996"/>
      <c r="U1500" s="1996"/>
      <c r="V1500" s="1996"/>
      <c r="W1500" s="2027"/>
      <c r="X1500" s="2027"/>
      <c r="Y1500" s="2027"/>
      <c r="Z1500" s="2027"/>
      <c r="AA1500" s="2027"/>
      <c r="AB1500" s="2027"/>
      <c r="AC1500" s="2027"/>
      <c r="AD1500" s="2027"/>
      <c r="AE1500" s="2027"/>
      <c r="AF1500" s="2027"/>
    </row>
    <row r="1501" spans="1:32" ht="15">
      <c r="A1501" s="2466" t="s">
        <v>1838</v>
      </c>
      <c r="B1501" s="2826" t="s">
        <v>4482</v>
      </c>
      <c r="C1501" s="2027"/>
      <c r="D1501" s="2027"/>
      <c r="E1501" s="2027"/>
      <c r="F1501" s="2027"/>
      <c r="G1501" s="2027"/>
      <c r="H1501" s="2027"/>
      <c r="I1501" s="2027"/>
      <c r="J1501" s="2027"/>
      <c r="K1501" s="2027"/>
      <c r="L1501" s="2810" t="str">
        <f t="shared" si="434"/>
        <v/>
      </c>
      <c r="M1501" s="2016">
        <v>2</v>
      </c>
      <c r="N1501" s="2464"/>
      <c r="O1501" s="2026">
        <f>'Part VIII Scoring Criteria'!O352</f>
        <v>2</v>
      </c>
      <c r="P1501" s="2026"/>
      <c r="Q1501" s="2029" t="str">
        <f>IF(OR(O1501=0,O1501="",O1501=$M1501),"","Check!")</f>
        <v/>
      </c>
      <c r="R1501" s="2812"/>
      <c r="S1501" s="1996"/>
      <c r="T1501" s="1996"/>
      <c r="U1501" s="1996"/>
      <c r="V1501" s="1996"/>
      <c r="W1501" s="2027"/>
      <c r="X1501" s="2027"/>
      <c r="Y1501" s="2027"/>
      <c r="Z1501" s="2027"/>
      <c r="AA1501" s="2027"/>
      <c r="AB1501" s="2027"/>
      <c r="AC1501" s="2027"/>
      <c r="AD1501" s="2027"/>
      <c r="AE1501" s="2027"/>
      <c r="AF1501" s="2027"/>
    </row>
    <row r="1502" spans="1:32" ht="15">
      <c r="A1502" s="1997"/>
      <c r="B1502" s="2806" t="s">
        <v>5113</v>
      </c>
      <c r="C1502" s="1997"/>
      <c r="D1502" s="1997"/>
      <c r="E1502" s="1997"/>
      <c r="F1502" s="1997"/>
      <c r="G1502" s="1997"/>
      <c r="H1502" s="1997"/>
      <c r="I1502" s="1997"/>
      <c r="J1502" s="1997"/>
      <c r="K1502" s="1997"/>
      <c r="L1502" s="2027"/>
      <c r="M1502" s="2011"/>
      <c r="N1502" s="2016"/>
      <c r="O1502" s="2026"/>
      <c r="P1502" s="2029"/>
      <c r="Q1502" s="2027"/>
      <c r="R1502" s="1996"/>
      <c r="S1502" s="1996"/>
      <c r="T1502" s="1996"/>
      <c r="U1502" s="1996"/>
      <c r="V1502" s="1996"/>
      <c r="W1502" s="2027"/>
      <c r="X1502" s="2027"/>
      <c r="Y1502" s="2027"/>
      <c r="Z1502" s="2027"/>
      <c r="AA1502" s="2027"/>
      <c r="AB1502" s="2027"/>
      <c r="AC1502" s="2027"/>
      <c r="AD1502" s="2027"/>
      <c r="AE1502" s="2027"/>
      <c r="AF1502" s="2027"/>
    </row>
    <row r="1503" spans="1:32" ht="15">
      <c r="A1503" s="2821" t="str">
        <f>'Part VIII Scoring Criteria'!A354</f>
        <v>Applicant plans to use Rainbow House, inc. (or another CORES provider)</v>
      </c>
      <c r="B1503" s="2821"/>
      <c r="C1503" s="2821"/>
      <c r="D1503" s="2821"/>
      <c r="E1503" s="2821"/>
      <c r="F1503" s="2821"/>
      <c r="G1503" s="2821"/>
      <c r="H1503" s="2821"/>
      <c r="I1503" s="2821"/>
      <c r="J1503" s="2821"/>
      <c r="K1503" s="2821"/>
      <c r="L1503" s="2821"/>
      <c r="M1503" s="2821"/>
      <c r="N1503" s="2821"/>
      <c r="O1503" s="2821"/>
      <c r="P1503" s="2821"/>
      <c r="Q1503" s="1996"/>
      <c r="R1503" s="2027"/>
      <c r="S1503" s="2027"/>
      <c r="T1503" s="2027"/>
      <c r="U1503" s="2027"/>
      <c r="V1503" s="2027"/>
      <c r="W1503" s="2027"/>
      <c r="X1503" s="2027"/>
      <c r="Y1503" s="2027"/>
      <c r="Z1503" s="2027"/>
      <c r="AA1503" s="2027"/>
      <c r="AB1503" s="2027"/>
      <c r="AC1503" s="2027"/>
      <c r="AD1503" s="2027"/>
      <c r="AE1503" s="2027"/>
      <c r="AF1503" s="2027"/>
    </row>
    <row r="1504" spans="1:32" ht="15">
      <c r="A1504" s="1997"/>
      <c r="B1504" s="2821" t="s">
        <v>1725</v>
      </c>
      <c r="C1504" s="1997"/>
      <c r="D1504" s="2821"/>
      <c r="E1504" s="2034"/>
      <c r="F1504" s="2034"/>
      <c r="G1504" s="2034"/>
      <c r="H1504" s="2034"/>
      <c r="I1504" s="2034"/>
      <c r="J1504" s="2034"/>
      <c r="K1504" s="2034"/>
      <c r="L1504" s="2034"/>
      <c r="M1504" s="2034"/>
      <c r="N1504" s="2032"/>
      <c r="O1504" s="2817"/>
      <c r="P1504" s="2466"/>
      <c r="Q1504" s="2027"/>
      <c r="R1504" s="2027"/>
      <c r="S1504" s="2027"/>
      <c r="T1504" s="2027"/>
      <c r="U1504" s="2027"/>
      <c r="V1504" s="2027"/>
      <c r="W1504" s="2027"/>
      <c r="X1504" s="2027"/>
      <c r="Y1504" s="2027"/>
      <c r="Z1504" s="2027"/>
      <c r="AA1504" s="2027"/>
      <c r="AB1504" s="2027"/>
      <c r="AC1504" s="2027"/>
      <c r="AD1504" s="2027"/>
      <c r="AE1504" s="2027"/>
      <c r="AF1504" s="2027"/>
    </row>
    <row r="1505" spans="1:32" ht="15">
      <c r="A1505" s="2033"/>
      <c r="B1505" s="2033"/>
      <c r="C1505" s="2033"/>
      <c r="D1505" s="2033"/>
      <c r="E1505" s="2033"/>
      <c r="F1505" s="2033"/>
      <c r="G1505" s="2033"/>
      <c r="H1505" s="2033"/>
      <c r="I1505" s="2033"/>
      <c r="J1505" s="2033"/>
      <c r="K1505" s="2033"/>
      <c r="L1505" s="2033"/>
      <c r="M1505" s="2033"/>
      <c r="N1505" s="2033"/>
      <c r="O1505" s="2033"/>
      <c r="P1505" s="2033"/>
      <c r="Q1505" s="1996"/>
      <c r="R1505" s="2027"/>
      <c r="S1505" s="2027"/>
      <c r="T1505" s="2027"/>
      <c r="U1505" s="2027"/>
      <c r="V1505" s="2027"/>
      <c r="W1505" s="2027"/>
      <c r="X1505" s="2027"/>
      <c r="Y1505" s="2027"/>
      <c r="Z1505" s="2027"/>
      <c r="AA1505" s="2027"/>
      <c r="AB1505" s="2027"/>
      <c r="AC1505" s="2027"/>
      <c r="AD1505" s="2027"/>
      <c r="AE1505" s="2027"/>
      <c r="AF1505" s="2027"/>
    </row>
    <row r="1506" spans="1:32" ht="15">
      <c r="A1506" s="1997"/>
      <c r="B1506" s="2027"/>
      <c r="C1506" s="2027"/>
      <c r="D1506" s="1997"/>
      <c r="E1506" s="1997"/>
      <c r="F1506" s="2466"/>
      <c r="G1506" s="2466"/>
      <c r="H1506" s="2466"/>
      <c r="I1506" s="2466"/>
      <c r="J1506" s="2030"/>
      <c r="K1506" s="2030"/>
      <c r="L1506" s="2030"/>
      <c r="M1506" s="2011"/>
      <c r="N1506" s="2466"/>
      <c r="O1506" s="2029"/>
      <c r="P1506" s="2026"/>
      <c r="Q1506" s="2027"/>
      <c r="R1506" s="2027"/>
      <c r="S1506" s="2027"/>
      <c r="T1506" s="2027"/>
      <c r="U1506" s="2027"/>
      <c r="V1506" s="2027"/>
      <c r="W1506" s="2027"/>
      <c r="X1506" s="2027"/>
      <c r="Y1506" s="2027"/>
      <c r="Z1506" s="2027"/>
      <c r="AA1506" s="2027"/>
      <c r="AB1506" s="2027"/>
      <c r="AC1506" s="2027"/>
      <c r="AD1506" s="2027"/>
      <c r="AE1506" s="2027"/>
      <c r="AF1506" s="2027"/>
    </row>
    <row r="1507" spans="1:32" ht="15">
      <c r="A1507" s="2027"/>
      <c r="B1507" s="2027"/>
      <c r="C1507" s="2027"/>
      <c r="D1507" s="2027"/>
      <c r="E1507" s="2027"/>
      <c r="F1507" s="2027"/>
      <c r="G1507" s="2027"/>
      <c r="H1507" s="2027"/>
      <c r="I1507" s="2027"/>
      <c r="J1507" s="2027"/>
      <c r="K1507" s="2027"/>
      <c r="L1507" s="2027"/>
      <c r="M1507" s="2027"/>
      <c r="N1507" s="2016"/>
      <c r="O1507" s="2029"/>
      <c r="P1507" s="2029"/>
      <c r="Q1507" s="2027"/>
      <c r="R1507" s="2027"/>
      <c r="S1507" s="2027"/>
      <c r="T1507" s="2027"/>
      <c r="U1507" s="2027"/>
      <c r="V1507" s="2027"/>
      <c r="W1507" s="2027"/>
      <c r="X1507" s="2027"/>
      <c r="Y1507" s="2027"/>
      <c r="Z1507" s="2027"/>
      <c r="AA1507" s="2027"/>
      <c r="AB1507" s="2027"/>
      <c r="AC1507" s="2027"/>
      <c r="AD1507" s="2027"/>
      <c r="AE1507" s="2027"/>
      <c r="AF1507" s="2027"/>
    </row>
    <row r="1508" spans="1:32" ht="15">
      <c r="A1508" s="2846" t="s">
        <v>3292</v>
      </c>
      <c r="B1508" s="2462" t="s">
        <v>1553</v>
      </c>
      <c r="C1508" s="2027"/>
      <c r="D1508" s="2035"/>
      <c r="E1508" s="2035"/>
      <c r="F1508" s="2027"/>
      <c r="G1508" s="1997"/>
      <c r="H1508" s="2027"/>
      <c r="I1508" s="2027"/>
      <c r="J1508" s="2027"/>
      <c r="K1508" s="2027"/>
      <c r="L1508" s="2866" t="str">
        <f>IF(AND(O1508&gt;0,NOT($O$12="9%")),"Ineligible, not 9%!","")</f>
        <v/>
      </c>
      <c r="M1508" s="2466">
        <v>2</v>
      </c>
      <c r="N1508" s="2810"/>
      <c r="O1508" s="2471">
        <f>'Part VIII Scoring Criteria'!O359</f>
        <v>0</v>
      </c>
      <c r="P1508" s="2471"/>
      <c r="Q1508" s="2466" t="s">
        <v>415</v>
      </c>
      <c r="R1508" s="2800"/>
      <c r="S1508" s="2800"/>
      <c r="T1508" s="2027"/>
      <c r="U1508" s="2027"/>
      <c r="V1508" s="2027"/>
      <c r="W1508" s="2027"/>
      <c r="X1508" s="2027"/>
      <c r="Y1508" s="2027"/>
      <c r="Z1508" s="2027"/>
      <c r="AA1508" s="2027"/>
      <c r="AB1508" s="2027"/>
      <c r="AC1508" s="2027"/>
      <c r="AD1508" s="2027"/>
      <c r="AE1508" s="2027"/>
      <c r="AF1508" s="2027"/>
    </row>
    <row r="1509" spans="1:32" ht="15">
      <c r="A1509" s="2469"/>
      <c r="B1509" s="2812" t="s">
        <v>3069</v>
      </c>
      <c r="C1509" s="2027"/>
      <c r="D1509" s="2035"/>
      <c r="E1509" s="2035"/>
      <c r="F1509" s="2027"/>
      <c r="G1509" s="1997"/>
      <c r="H1509" s="2027"/>
      <c r="I1509" s="1997" t="str">
        <f>'Part VIII Scoring Criteria'!I360</f>
        <v>Enter GICH Community Name</v>
      </c>
      <c r="J1509" s="1997"/>
      <c r="K1509" s="1997"/>
      <c r="L1509" s="1997"/>
      <c r="M1509" s="2011"/>
      <c r="N1509" s="2011"/>
      <c r="O1509" s="2016"/>
      <c r="P1509" s="2016"/>
      <c r="Q1509" s="2811"/>
      <c r="R1509" s="2800"/>
      <c r="S1509" s="2800"/>
      <c r="T1509" s="2027"/>
      <c r="U1509" s="2027"/>
      <c r="V1509" s="2027"/>
      <c r="W1509" s="2027"/>
      <c r="X1509" s="2027"/>
      <c r="Y1509" s="2027"/>
      <c r="Z1509" s="2027"/>
      <c r="AA1509" s="2027"/>
      <c r="AB1509" s="2027"/>
      <c r="AC1509" s="2027"/>
      <c r="AD1509" s="2027"/>
      <c r="AE1509" s="2027"/>
      <c r="AF1509" s="2027"/>
    </row>
    <row r="1510" spans="1:32" ht="15">
      <c r="A1510" s="2027"/>
      <c r="B1510" s="2812"/>
      <c r="C1510" s="2027"/>
      <c r="D1510" s="1997"/>
      <c r="E1510" s="1997"/>
      <c r="F1510" s="1997"/>
      <c r="G1510" s="1997"/>
      <c r="H1510" s="1997"/>
      <c r="I1510" s="1997"/>
      <c r="J1510" s="1997"/>
      <c r="K1510" s="1997"/>
      <c r="L1510" s="1997"/>
      <c r="M1510" s="1997"/>
      <c r="N1510" s="2464"/>
      <c r="O1510" s="2464"/>
      <c r="P1510" s="2464"/>
      <c r="Q1510" s="2027"/>
      <c r="R1510" s="2027"/>
      <c r="S1510" s="2027"/>
      <c r="T1510" s="2027"/>
      <c r="U1510" s="2027"/>
      <c r="V1510" s="2027"/>
      <c r="W1510" s="2027"/>
      <c r="X1510" s="2027"/>
      <c r="Y1510" s="2027"/>
      <c r="Z1510" s="2027"/>
      <c r="AA1510" s="2027"/>
      <c r="AB1510" s="2027"/>
      <c r="AC1510" s="2027"/>
      <c r="AD1510" s="2027"/>
      <c r="AE1510" s="2027"/>
      <c r="AF1510" s="2027"/>
    </row>
    <row r="1511" spans="1:32" ht="15">
      <c r="A1511" s="1997"/>
      <c r="B1511" s="2806" t="s">
        <v>5113</v>
      </c>
      <c r="C1511" s="1997"/>
      <c r="D1511" s="1997"/>
      <c r="E1511" s="1997"/>
      <c r="F1511" s="1997"/>
      <c r="G1511" s="1997"/>
      <c r="H1511" s="1997"/>
      <c r="I1511" s="1997"/>
      <c r="J1511" s="1997"/>
      <c r="K1511" s="1997"/>
      <c r="L1511" s="2027"/>
      <c r="M1511" s="2011"/>
      <c r="N1511" s="2016"/>
      <c r="O1511" s="2026"/>
      <c r="P1511" s="2029"/>
      <c r="Q1511" s="1997"/>
      <c r="R1511" s="1997"/>
      <c r="S1511" s="1997"/>
      <c r="T1511" s="1997"/>
      <c r="U1511" s="1997"/>
      <c r="V1511" s="1997"/>
      <c r="W1511" s="1997"/>
      <c r="X1511" s="1997"/>
      <c r="Y1511" s="1997"/>
      <c r="Z1511" s="1997"/>
      <c r="AA1511" s="1997"/>
      <c r="AB1511" s="1997"/>
      <c r="AC1511" s="1997"/>
      <c r="AD1511" s="1997"/>
      <c r="AE1511" s="1997"/>
      <c r="AF1511" s="1997"/>
    </row>
    <row r="1512" spans="1:32" ht="15">
      <c r="A1512" s="2821" t="str">
        <f>'Part VIII Scoring Criteria'!A363</f>
        <v>N/A</v>
      </c>
      <c r="B1512" s="2821"/>
      <c r="C1512" s="2821"/>
      <c r="D1512" s="2821"/>
      <c r="E1512" s="2821"/>
      <c r="F1512" s="2821"/>
      <c r="G1512" s="2821"/>
      <c r="H1512" s="2821"/>
      <c r="I1512" s="2821"/>
      <c r="J1512" s="2821"/>
      <c r="K1512" s="2821"/>
      <c r="L1512" s="2821"/>
      <c r="M1512" s="2821"/>
      <c r="N1512" s="2821"/>
      <c r="O1512" s="2821"/>
      <c r="P1512" s="2821"/>
      <c r="Q1512" s="1996"/>
      <c r="R1512" s="2027"/>
      <c r="S1512" s="2027"/>
      <c r="T1512" s="2027"/>
      <c r="U1512" s="2027"/>
      <c r="V1512" s="2027"/>
      <c r="W1512" s="2027"/>
      <c r="X1512" s="2027"/>
      <c r="Y1512" s="2027"/>
      <c r="Z1512" s="2027"/>
      <c r="AA1512" s="2027"/>
      <c r="AB1512" s="2027"/>
      <c r="AC1512" s="2027"/>
      <c r="AD1512" s="2027"/>
      <c r="AE1512" s="2027"/>
      <c r="AF1512" s="2027"/>
    </row>
    <row r="1513" spans="1:32" ht="15">
      <c r="A1513" s="1997"/>
      <c r="B1513" s="2806" t="s">
        <v>1725</v>
      </c>
      <c r="C1513" s="1997"/>
      <c r="D1513" s="2806"/>
      <c r="E1513" s="2030"/>
      <c r="F1513" s="2030"/>
      <c r="G1513" s="2030"/>
      <c r="H1513" s="2030"/>
      <c r="I1513" s="2030"/>
      <c r="J1513" s="2030"/>
      <c r="K1513" s="2030"/>
      <c r="L1513" s="2030"/>
      <c r="M1513" s="2030"/>
      <c r="N1513" s="2011"/>
      <c r="O1513" s="2466"/>
      <c r="P1513" s="2466"/>
      <c r="Q1513" s="2027"/>
      <c r="R1513" s="1997"/>
      <c r="S1513" s="1997"/>
      <c r="T1513" s="1997"/>
      <c r="U1513" s="1997"/>
      <c r="V1513" s="1997"/>
      <c r="W1513" s="1997"/>
      <c r="X1513" s="1997"/>
      <c r="Y1513" s="1997"/>
      <c r="Z1513" s="1997"/>
      <c r="AA1513" s="1997"/>
      <c r="AB1513" s="1997"/>
      <c r="AC1513" s="1997"/>
      <c r="AD1513" s="1997"/>
      <c r="AE1513" s="1997"/>
      <c r="AF1513" s="1997"/>
    </row>
    <row r="1514" spans="1:32" ht="15">
      <c r="A1514" s="2033"/>
      <c r="B1514" s="2033"/>
      <c r="C1514" s="2033"/>
      <c r="D1514" s="2033"/>
      <c r="E1514" s="2033"/>
      <c r="F1514" s="2033"/>
      <c r="G1514" s="2033"/>
      <c r="H1514" s="2033"/>
      <c r="I1514" s="2033"/>
      <c r="J1514" s="2033"/>
      <c r="K1514" s="2033"/>
      <c r="L1514" s="2033"/>
      <c r="M1514" s="2033"/>
      <c r="N1514" s="2033"/>
      <c r="O1514" s="2033"/>
      <c r="P1514" s="2033"/>
      <c r="Q1514" s="1996"/>
      <c r="R1514" s="2027"/>
      <c r="S1514" s="2027"/>
      <c r="T1514" s="2027"/>
      <c r="U1514" s="2027"/>
      <c r="V1514" s="2027"/>
      <c r="W1514" s="2027"/>
      <c r="X1514" s="2027"/>
      <c r="Y1514" s="2027"/>
      <c r="Z1514" s="2027"/>
      <c r="AA1514" s="2027"/>
      <c r="AB1514" s="2027"/>
      <c r="AC1514" s="2027"/>
      <c r="AD1514" s="2027"/>
      <c r="AE1514" s="2027"/>
      <c r="AF1514" s="2027"/>
    </row>
    <row r="1515" spans="1:32" ht="15">
      <c r="A1515" s="2027"/>
      <c r="B1515" s="2027"/>
      <c r="C1515" s="2027"/>
      <c r="D1515" s="2027"/>
      <c r="E1515" s="2027"/>
      <c r="F1515" s="2027"/>
      <c r="G1515" s="2027"/>
      <c r="H1515" s="2027"/>
      <c r="I1515" s="2027"/>
      <c r="J1515" s="2027"/>
      <c r="K1515" s="2027"/>
      <c r="L1515" s="2027"/>
      <c r="M1515" s="2027"/>
      <c r="N1515" s="2016"/>
      <c r="O1515" s="2029"/>
      <c r="P1515" s="2029"/>
      <c r="Q1515" s="2027"/>
      <c r="R1515" s="2027"/>
      <c r="S1515" s="2027"/>
      <c r="T1515" s="2027"/>
      <c r="U1515" s="2027"/>
      <c r="V1515" s="2027"/>
      <c r="W1515" s="2027"/>
      <c r="X1515" s="2027"/>
      <c r="Y1515" s="2027"/>
      <c r="Z1515" s="2027"/>
      <c r="AA1515" s="2027"/>
      <c r="AB1515" s="2027"/>
      <c r="AC1515" s="2027"/>
      <c r="AD1515" s="2027"/>
      <c r="AE1515" s="2027"/>
      <c r="AF1515" s="2027"/>
    </row>
    <row r="1516" spans="1:32" ht="15">
      <c r="A1516" s="2846"/>
      <c r="B1516" s="1997"/>
      <c r="C1516" s="2034"/>
      <c r="D1516" s="2034"/>
      <c r="E1516" s="2034"/>
      <c r="F1516" s="2034"/>
      <c r="G1516" s="2034"/>
      <c r="H1516" s="2034"/>
      <c r="I1516" s="2034"/>
      <c r="J1516" s="2034"/>
      <c r="K1516" s="2034"/>
      <c r="L1516" s="2034"/>
      <c r="M1516" s="2034"/>
      <c r="N1516" s="2032"/>
      <c r="O1516" s="2817"/>
      <c r="P1516" s="2466"/>
      <c r="Q1516" s="2027"/>
      <c r="R1516" s="2027"/>
      <c r="S1516" s="2027"/>
      <c r="T1516" s="2027"/>
      <c r="U1516" s="2027"/>
      <c r="V1516" s="2027"/>
      <c r="W1516" s="2027"/>
      <c r="X1516" s="2027"/>
      <c r="Y1516" s="2027"/>
      <c r="Z1516" s="2027"/>
      <c r="AA1516" s="2027"/>
      <c r="AB1516" s="2027"/>
      <c r="AC1516" s="2027"/>
      <c r="AD1516" s="2027"/>
      <c r="AE1516" s="2027"/>
      <c r="AF1516" s="2027"/>
    </row>
    <row r="1517" spans="1:32" ht="15">
      <c r="A1517" s="2846" t="s">
        <v>3293</v>
      </c>
      <c r="B1517" s="2462" t="s">
        <v>4852</v>
      </c>
      <c r="C1517" s="1997"/>
      <c r="D1517" s="2462"/>
      <c r="E1517" s="2462"/>
      <c r="F1517" s="1997"/>
      <c r="G1517" s="1997"/>
      <c r="H1517" s="1997"/>
      <c r="I1517" s="2866" t="str">
        <f>IF(AND($O1517&gt;0,NOT($F$12="Preservation")),"Ineligible, not Preservation!","")</f>
        <v/>
      </c>
      <c r="J1517" s="1997"/>
      <c r="K1517" s="1997"/>
      <c r="L1517" s="1997"/>
      <c r="M1517" s="2466"/>
      <c r="N1517" s="2011"/>
      <c r="O1517" s="2805">
        <f>'Part VIII Scoring Criteria'!O368</f>
        <v>0</v>
      </c>
      <c r="P1517" s="2805">
        <f>'Part VIII Scoring Criteria'!P368</f>
        <v>0</v>
      </c>
      <c r="Q1517" s="2466" t="s">
        <v>415</v>
      </c>
      <c r="R1517" s="2812"/>
      <c r="S1517" s="1997"/>
      <c r="T1517" s="1997"/>
      <c r="U1517" s="1997"/>
      <c r="V1517" s="1997"/>
      <c r="W1517" s="1997"/>
      <c r="X1517" s="1997"/>
      <c r="Y1517" s="1997"/>
      <c r="Z1517" s="1997"/>
      <c r="AA1517" s="1997"/>
      <c r="AB1517" s="1997"/>
      <c r="AC1517" s="1997"/>
      <c r="AD1517" s="1997"/>
      <c r="AE1517" s="1997"/>
      <c r="AF1517" s="1997"/>
    </row>
    <row r="1518" spans="1:32" ht="15">
      <c r="A1518" s="2846"/>
      <c r="B1518" s="1997"/>
      <c r="C1518" s="2034"/>
      <c r="D1518" s="2034"/>
      <c r="E1518" s="2034"/>
      <c r="F1518" s="2034"/>
      <c r="G1518" s="2034"/>
      <c r="H1518" s="2034"/>
      <c r="I1518" s="2027"/>
      <c r="J1518" s="2034"/>
      <c r="K1518" s="2034"/>
      <c r="L1518" s="2034"/>
      <c r="M1518" s="2034"/>
      <c r="N1518" s="2032"/>
      <c r="O1518" s="2817"/>
      <c r="P1518" s="2817"/>
      <c r="Q1518" s="2027"/>
      <c r="R1518" s="2027"/>
      <c r="S1518" s="2027"/>
      <c r="T1518" s="2027"/>
      <c r="U1518" s="2027"/>
      <c r="V1518" s="2027"/>
      <c r="W1518" s="2027"/>
      <c r="X1518" s="2027"/>
      <c r="Y1518" s="2027"/>
      <c r="Z1518" s="2027"/>
      <c r="AA1518" s="2027"/>
      <c r="AB1518" s="2027"/>
      <c r="AC1518" s="2027"/>
      <c r="AD1518" s="2027"/>
      <c r="AE1518" s="2027"/>
      <c r="AF1518" s="2027"/>
    </row>
    <row r="1519" spans="1:32" ht="15">
      <c r="A1519" s="2466" t="s">
        <v>1836</v>
      </c>
      <c r="B1519" s="1996" t="s">
        <v>4034</v>
      </c>
      <c r="C1519" s="1997"/>
      <c r="D1519" s="2462"/>
      <c r="E1519" s="2462"/>
      <c r="F1519" s="1997"/>
      <c r="G1519" s="1997"/>
      <c r="H1519" s="1997"/>
      <c r="I1519" s="1997"/>
      <c r="J1519" s="1997"/>
      <c r="K1519" s="1997"/>
      <c r="L1519" s="2840" t="s">
        <v>4896</v>
      </c>
      <c r="M1519" s="2466">
        <v>6</v>
      </c>
      <c r="N1519" s="2011"/>
      <c r="O1519" s="2026">
        <f>'Part VIII Scoring Criteria'!O370</f>
        <v>0</v>
      </c>
      <c r="P1519" s="2026"/>
      <c r="Q1519" s="2466"/>
      <c r="R1519" s="2812"/>
      <c r="S1519" s="1997"/>
      <c r="T1519" s="1997"/>
      <c r="U1519" s="1997"/>
      <c r="V1519" s="1997"/>
      <c r="W1519" s="1997"/>
      <c r="X1519" s="1997"/>
      <c r="Y1519" s="1997"/>
      <c r="Z1519" s="1997"/>
      <c r="AA1519" s="1997"/>
      <c r="AB1519" s="1997"/>
      <c r="AC1519" s="1997"/>
      <c r="AD1519" s="1997"/>
      <c r="AE1519" s="1997"/>
      <c r="AF1519" s="1997"/>
    </row>
    <row r="1520" spans="1:32" ht="15">
      <c r="A1520" s="2817" t="s">
        <v>1838</v>
      </c>
      <c r="B1520" s="1996" t="s">
        <v>4738</v>
      </c>
      <c r="C1520" s="1997"/>
      <c r="D1520" s="2462"/>
      <c r="E1520" s="2462"/>
      <c r="F1520" s="2850" t="s">
        <v>4946</v>
      </c>
      <c r="G1520" s="1997"/>
      <c r="H1520" s="1997"/>
      <c r="I1520" s="1997"/>
      <c r="J1520" s="1997"/>
      <c r="K1520" s="2811" t="str">
        <f>IF(OR($O1520=$M1520,$O1520=0,$O1520=""),"","*CHECK!*")</f>
        <v/>
      </c>
      <c r="L1520" s="2840" t="s">
        <v>4896</v>
      </c>
      <c r="M1520" s="2466">
        <v>6</v>
      </c>
      <c r="N1520" s="2011"/>
      <c r="O1520" s="2011"/>
      <c r="P1520" s="2026"/>
      <c r="Q1520" s="2466"/>
      <c r="R1520" s="2812"/>
      <c r="S1520" s="1997"/>
      <c r="T1520" s="1997"/>
      <c r="U1520" s="1997"/>
      <c r="V1520" s="1997"/>
      <c r="W1520" s="1997"/>
      <c r="X1520" s="1997"/>
      <c r="Y1520" s="1997"/>
      <c r="Z1520" s="1997"/>
      <c r="AA1520" s="1997"/>
      <c r="AB1520" s="1997"/>
      <c r="AC1520" s="1997"/>
      <c r="AD1520" s="1997"/>
      <c r="AE1520" s="1997"/>
      <c r="AF1520" s="1997"/>
    </row>
    <row r="1521" spans="1:32" ht="15">
      <c r="A1521" s="2846"/>
      <c r="B1521" s="1997" t="s">
        <v>4710</v>
      </c>
      <c r="C1521" s="1997"/>
      <c r="D1521" s="2462"/>
      <c r="E1521" s="2462"/>
      <c r="F1521" s="1996"/>
      <c r="G1521" s="1997"/>
      <c r="H1521" s="1997"/>
      <c r="I1521" s="1997"/>
      <c r="J1521" s="1997"/>
      <c r="K1521" s="1997"/>
      <c r="L1521" s="2811"/>
      <c r="M1521" s="2466"/>
      <c r="N1521" s="2011"/>
      <c r="O1521" s="2026">
        <f>'Part VIII Scoring Criteria'!O372</f>
        <v>0</v>
      </c>
      <c r="P1521" s="2466"/>
      <c r="Q1521" s="2466"/>
      <c r="R1521" s="2812"/>
      <c r="S1521" s="1997"/>
      <c r="T1521" s="1997"/>
      <c r="U1521" s="1997"/>
      <c r="V1521" s="1997"/>
      <c r="W1521" s="1997"/>
      <c r="X1521" s="1997"/>
      <c r="Y1521" s="1997"/>
      <c r="Z1521" s="1997"/>
      <c r="AA1521" s="1997"/>
      <c r="AB1521" s="1997"/>
      <c r="AC1521" s="1997"/>
      <c r="AD1521" s="1997"/>
      <c r="AE1521" s="1997"/>
      <c r="AF1521" s="1997"/>
    </row>
    <row r="1522" spans="1:32" ht="15">
      <c r="A1522" s="2466" t="s">
        <v>697</v>
      </c>
      <c r="B1522" s="2800" t="s">
        <v>4036</v>
      </c>
      <c r="C1522" s="2033"/>
      <c r="D1522" s="2033"/>
      <c r="E1522" s="2033"/>
      <c r="F1522" s="2033"/>
      <c r="G1522" s="2033"/>
      <c r="H1522" s="2033"/>
      <c r="I1522" s="2033"/>
      <c r="J1522" s="1997"/>
      <c r="K1522" s="1997"/>
      <c r="L1522" s="2840" t="s">
        <v>4896</v>
      </c>
      <c r="M1522" s="2011">
        <v>4</v>
      </c>
      <c r="N1522" s="2464"/>
      <c r="O1522" s="2026">
        <f>'Part VIII Scoring Criteria'!O373</f>
        <v>0</v>
      </c>
      <c r="P1522" s="2026"/>
      <c r="Q1522" s="2811"/>
      <c r="R1522" s="2812"/>
      <c r="S1522" s="2033"/>
      <c r="T1522" s="2033"/>
      <c r="U1522" s="2033"/>
      <c r="V1522" s="2033"/>
      <c r="W1522" s="2033"/>
      <c r="X1522" s="2033"/>
      <c r="Y1522" s="2033"/>
      <c r="Z1522" s="2033"/>
      <c r="AA1522" s="2033"/>
      <c r="AB1522" s="2033"/>
      <c r="AC1522" s="2033"/>
      <c r="AD1522" s="2033"/>
      <c r="AE1522" s="2033"/>
      <c r="AF1522" s="2033"/>
    </row>
    <row r="1523" spans="1:32" ht="15">
      <c r="A1523" s="2466" t="s">
        <v>1957</v>
      </c>
      <c r="B1523" s="1996" t="s">
        <v>4035</v>
      </c>
      <c r="C1523" s="2027"/>
      <c r="D1523" s="2027"/>
      <c r="E1523" s="2035"/>
      <c r="F1523" s="1997"/>
      <c r="G1523" s="1997"/>
      <c r="H1523" s="1997"/>
      <c r="I1523" s="2027"/>
      <c r="J1523" s="2027"/>
      <c r="K1523" s="2011"/>
      <c r="L1523" s="2840" t="s">
        <v>4896</v>
      </c>
      <c r="M1523" s="2011">
        <v>4</v>
      </c>
      <c r="N1523" s="2464"/>
      <c r="O1523" s="2026">
        <f>'Part VIII Scoring Criteria'!O374</f>
        <v>0</v>
      </c>
      <c r="P1523" s="2026"/>
      <c r="Q1523" s="2811"/>
      <c r="R1523" s="2812"/>
      <c r="S1523" s="2027"/>
      <c r="T1523" s="2027"/>
      <c r="U1523" s="2027"/>
      <c r="V1523" s="2027"/>
      <c r="W1523" s="2027"/>
      <c r="X1523" s="2027"/>
      <c r="Y1523" s="2027"/>
      <c r="Z1523" s="2027"/>
      <c r="AA1523" s="2027"/>
      <c r="AB1523" s="2027"/>
      <c r="AC1523" s="2027"/>
      <c r="AD1523" s="2027"/>
      <c r="AE1523" s="2027"/>
      <c r="AF1523" s="2027"/>
    </row>
    <row r="1524" spans="1:32" ht="15">
      <c r="A1524" s="2466" t="s">
        <v>1609</v>
      </c>
      <c r="B1524" s="1996" t="s">
        <v>4853</v>
      </c>
      <c r="C1524" s="1997"/>
      <c r="D1524" s="2462"/>
      <c r="E1524" s="1997"/>
      <c r="F1524" s="2850" t="s">
        <v>4940</v>
      </c>
      <c r="G1524" s="1997"/>
      <c r="H1524" s="1997"/>
      <c r="I1524" s="1997"/>
      <c r="J1524" s="1997"/>
      <c r="K1524" s="2866" t="str">
        <f>IF(AND($O1524&gt;0,NOT($F$12="Preservation")),"Ineligible, not Preservation!","")</f>
        <v/>
      </c>
      <c r="L1524" s="2840" t="s">
        <v>4896</v>
      </c>
      <c r="M1524" s="2466">
        <v>20</v>
      </c>
      <c r="N1524" s="2011"/>
      <c r="O1524" s="2026">
        <f>'Part VIII Scoring Criteria'!O375</f>
        <v>0</v>
      </c>
      <c r="P1524" s="2026">
        <f>'Part VIII Scoring Criteria'!P375</f>
        <v>0</v>
      </c>
      <c r="Q1524" s="2466"/>
      <c r="R1524" s="2812"/>
      <c r="S1524" s="1997"/>
      <c r="T1524" s="1997"/>
      <c r="U1524" s="1997"/>
      <c r="V1524" s="1997"/>
      <c r="W1524" s="1997"/>
      <c r="X1524" s="1997"/>
      <c r="Y1524" s="1997"/>
      <c r="Z1524" s="1997"/>
      <c r="AA1524" s="1997"/>
      <c r="AB1524" s="1997"/>
      <c r="AC1524" s="1997"/>
      <c r="AD1524" s="1997"/>
      <c r="AE1524" s="1997"/>
      <c r="AF1524" s="1997"/>
    </row>
    <row r="1525" spans="1:32" ht="15">
      <c r="A1525" s="2466"/>
      <c r="B1525" s="1996"/>
      <c r="C1525" s="1997" t="s">
        <v>4995</v>
      </c>
      <c r="D1525" s="2462"/>
      <c r="E1525" s="2462"/>
      <c r="F1525" s="1997"/>
      <c r="G1525" s="1997"/>
      <c r="H1525" s="1997"/>
      <c r="I1525" s="1997"/>
      <c r="J1525" s="2466" t="s">
        <v>2880</v>
      </c>
      <c r="K1525" s="2466" t="s">
        <v>245</v>
      </c>
      <c r="L1525" s="2840"/>
      <c r="M1525" s="2466"/>
      <c r="N1525" s="2011"/>
      <c r="O1525" s="2026"/>
      <c r="P1525" s="2026"/>
      <c r="Q1525" s="2466"/>
      <c r="R1525" s="2466"/>
      <c r="S1525" s="2466"/>
      <c r="T1525" s="2466"/>
      <c r="U1525" s="2466"/>
      <c r="V1525" s="2466"/>
      <c r="W1525" s="2466"/>
      <c r="X1525" s="2466"/>
      <c r="Y1525" s="2466"/>
      <c r="Z1525" s="2466"/>
      <c r="AA1525" s="2466"/>
      <c r="AB1525" s="1997"/>
      <c r="AC1525" s="1997"/>
      <c r="AD1525" s="1997"/>
      <c r="AE1525" s="1997"/>
      <c r="AF1525" s="1997"/>
    </row>
    <row r="1526" spans="1:32" ht="15">
      <c r="A1526" s="2466"/>
      <c r="B1526" s="1996"/>
      <c r="C1526" s="1997"/>
      <c r="D1526" s="1997" t="s">
        <v>3307</v>
      </c>
      <c r="E1526" s="2462"/>
      <c r="F1526" s="1997"/>
      <c r="G1526" s="1997"/>
      <c r="H1526" s="1997"/>
      <c r="I1526" s="1997"/>
      <c r="J1526" s="2895">
        <f>'Part VIII Scoring Criteria'!J377</f>
        <v>20</v>
      </c>
      <c r="K1526" s="2895">
        <f>MAX(P1317,P1318-P1319)</f>
        <v>0</v>
      </c>
      <c r="L1526" s="2840"/>
      <c r="M1526" s="2466"/>
      <c r="N1526" s="2011"/>
      <c r="O1526" s="2026"/>
      <c r="P1526" s="2026"/>
      <c r="Q1526" s="2466"/>
      <c r="R1526" s="2466"/>
      <c r="S1526" s="2466"/>
      <c r="T1526" s="2466"/>
      <c r="U1526" s="2466"/>
      <c r="V1526" s="2466"/>
      <c r="W1526" s="2466"/>
      <c r="X1526" s="2466"/>
      <c r="Y1526" s="2466"/>
      <c r="Z1526" s="2466"/>
      <c r="AA1526" s="2466"/>
      <c r="AB1526" s="1997"/>
      <c r="AC1526" s="1997"/>
      <c r="AD1526" s="1997"/>
      <c r="AE1526" s="1997"/>
      <c r="AF1526" s="1997"/>
    </row>
    <row r="1527" spans="1:32" ht="15">
      <c r="A1527" s="2466"/>
      <c r="B1527" s="1996"/>
      <c r="C1527" s="1997"/>
      <c r="D1527" s="1997" t="s">
        <v>3910</v>
      </c>
      <c r="E1527" s="2462"/>
      <c r="F1527" s="1997"/>
      <c r="G1527" s="1997"/>
      <c r="H1527" s="1997"/>
      <c r="I1527" s="1997"/>
      <c r="J1527" s="2895">
        <f>'Part VIII Scoring Criteria'!J378</f>
        <v>2</v>
      </c>
      <c r="K1527" s="2895">
        <f>MAX(P1326,P1335+P1336+P1338+P1339+P1340)</f>
        <v>0</v>
      </c>
      <c r="L1527" s="2840"/>
      <c r="M1527" s="2466"/>
      <c r="N1527" s="2011"/>
      <c r="O1527" s="2026"/>
      <c r="P1527" s="2026"/>
      <c r="Q1527" s="2466"/>
      <c r="R1527" s="2466"/>
      <c r="S1527" s="2466"/>
      <c r="T1527" s="2466"/>
      <c r="U1527" s="2466"/>
      <c r="V1527" s="2466"/>
      <c r="W1527" s="2466"/>
      <c r="X1527" s="2466"/>
      <c r="Y1527" s="2466"/>
      <c r="Z1527" s="2466"/>
      <c r="AA1527" s="2466"/>
      <c r="AB1527" s="1997"/>
      <c r="AC1527" s="1997"/>
      <c r="AD1527" s="1997"/>
      <c r="AE1527" s="1997"/>
      <c r="AF1527" s="1997"/>
    </row>
    <row r="1528" spans="1:32" ht="15">
      <c r="A1528" s="2466"/>
      <c r="B1528" s="1996"/>
      <c r="C1528" s="1997"/>
      <c r="D1528" s="1997" t="s">
        <v>3252</v>
      </c>
      <c r="E1528" s="1997"/>
      <c r="F1528" s="2850"/>
      <c r="G1528" s="1997"/>
      <c r="H1528" s="1997"/>
      <c r="I1528" s="1997"/>
      <c r="J1528" s="2895">
        <f>'Part VIII Scoring Criteria'!J379</f>
        <v>3</v>
      </c>
      <c r="K1528" s="2901">
        <f>$P$190</f>
        <v>0</v>
      </c>
      <c r="L1528" s="2840"/>
      <c r="M1528" s="2466"/>
      <c r="N1528" s="2011"/>
      <c r="O1528" s="2026"/>
      <c r="P1528" s="2026"/>
      <c r="Q1528" s="2466"/>
      <c r="R1528" s="2466"/>
      <c r="S1528" s="2466"/>
      <c r="T1528" s="2466"/>
      <c r="U1528" s="2466"/>
      <c r="V1528" s="2466"/>
      <c r="W1528" s="2466"/>
      <c r="X1528" s="2466"/>
      <c r="Y1528" s="2466"/>
      <c r="Z1528" s="2466"/>
      <c r="AA1528" s="2466"/>
      <c r="AB1528" s="1997"/>
      <c r="AC1528" s="1997"/>
      <c r="AD1528" s="1997"/>
      <c r="AE1528" s="1997"/>
      <c r="AF1528" s="1997"/>
    </row>
    <row r="1529" spans="1:32" ht="15">
      <c r="A1529" s="2466"/>
      <c r="B1529" s="1996"/>
      <c r="C1529" s="1997" t="s">
        <v>4996</v>
      </c>
      <c r="D1529" s="1997"/>
      <c r="E1529" s="1997"/>
      <c r="F1529" s="2850"/>
      <c r="G1529" s="1997"/>
      <c r="H1529" s="1997"/>
      <c r="I1529" s="2859" t="s">
        <v>4997</v>
      </c>
      <c r="J1529" s="2895">
        <f>'Part VIII Scoring Criteria'!J380</f>
        <v>9</v>
      </c>
      <c r="K1529" s="2895">
        <f>MAX(K1530:K1532)</f>
        <v>0</v>
      </c>
      <c r="L1529" s="2840"/>
      <c r="M1529" s="2466"/>
      <c r="N1529" s="2011"/>
      <c r="O1529" s="2026"/>
      <c r="P1529" s="2026"/>
      <c r="Q1529" s="2466"/>
      <c r="R1529" s="2466"/>
      <c r="S1529" s="2466"/>
      <c r="T1529" s="2466"/>
      <c r="U1529" s="2466"/>
      <c r="V1529" s="2466"/>
      <c r="W1529" s="2466"/>
      <c r="X1529" s="2466"/>
      <c r="Y1529" s="2466"/>
      <c r="Z1529" s="2466"/>
      <c r="AA1529" s="2466"/>
      <c r="AB1529" s="1997"/>
      <c r="AC1529" s="1997"/>
      <c r="AD1529" s="1997"/>
      <c r="AE1529" s="1997"/>
      <c r="AF1529" s="1997"/>
    </row>
    <row r="1530" spans="1:32" ht="15">
      <c r="A1530" s="2466"/>
      <c r="B1530" s="1996"/>
      <c r="C1530" s="1997"/>
      <c r="D1530" s="1997" t="s">
        <v>3308</v>
      </c>
      <c r="E1530" s="1997"/>
      <c r="F1530" s="2850"/>
      <c r="G1530" s="1997"/>
      <c r="H1530" s="1997"/>
      <c r="I1530" s="1997"/>
      <c r="J1530" s="2895">
        <f>'Part VIII Scoring Criteria'!J381</f>
        <v>0</v>
      </c>
      <c r="K1530" s="2895">
        <f>MAX(P1363,P1369+P1379+P1386)</f>
        <v>0</v>
      </c>
      <c r="L1530" s="2840"/>
      <c r="M1530" s="2466"/>
      <c r="N1530" s="2011"/>
      <c r="O1530" s="2026"/>
      <c r="P1530" s="2026"/>
      <c r="Q1530" s="2466"/>
      <c r="R1530" s="2466"/>
      <c r="S1530" s="2466"/>
      <c r="T1530" s="2466"/>
      <c r="U1530" s="2466"/>
      <c r="V1530" s="2466"/>
      <c r="W1530" s="2466"/>
      <c r="X1530" s="2466"/>
      <c r="Y1530" s="2466"/>
      <c r="Z1530" s="2466"/>
      <c r="AA1530" s="2466"/>
      <c r="AB1530" s="1997"/>
      <c r="AC1530" s="1997"/>
      <c r="AD1530" s="1997"/>
      <c r="AE1530" s="1997"/>
      <c r="AF1530" s="1997"/>
    </row>
    <row r="1531" spans="1:32" ht="15">
      <c r="A1531" s="2466"/>
      <c r="B1531" s="1996"/>
      <c r="C1531" s="1997"/>
      <c r="D1531" s="1997" t="s">
        <v>3911</v>
      </c>
      <c r="E1531" s="1997"/>
      <c r="F1531" s="2850"/>
      <c r="G1531" s="1997"/>
      <c r="H1531" s="1997"/>
      <c r="I1531" s="1997"/>
      <c r="J1531" s="2804">
        <f>'Part VIII Scoring Criteria'!J382</f>
        <v>9</v>
      </c>
      <c r="K1531" s="2804">
        <f>MAX($K$251,$P$238)</f>
        <v>0</v>
      </c>
      <c r="L1531" s="2840"/>
      <c r="M1531" s="2466"/>
      <c r="N1531" s="2011"/>
      <c r="O1531" s="2026"/>
      <c r="P1531" s="2026"/>
      <c r="Q1531" s="2466"/>
      <c r="R1531" s="2466"/>
      <c r="S1531" s="2466"/>
      <c r="T1531" s="2466"/>
      <c r="U1531" s="2466"/>
      <c r="V1531" s="2466"/>
      <c r="W1531" s="2466"/>
      <c r="X1531" s="2466"/>
      <c r="Y1531" s="2466"/>
      <c r="Z1531" s="2466"/>
      <c r="AA1531" s="2466"/>
      <c r="AB1531" s="1997"/>
      <c r="AC1531" s="1997"/>
      <c r="AD1531" s="1997"/>
      <c r="AE1531" s="1997"/>
      <c r="AF1531" s="1997"/>
    </row>
    <row r="1532" spans="1:32" ht="15">
      <c r="A1532" s="2466"/>
      <c r="B1532" s="1996"/>
      <c r="C1532" s="1997"/>
      <c r="D1532" s="1997" t="s">
        <v>3179</v>
      </c>
      <c r="E1532" s="1997"/>
      <c r="F1532" s="2850"/>
      <c r="G1532" s="1997"/>
      <c r="H1532" s="1997"/>
      <c r="I1532" s="1997"/>
      <c r="J1532" s="2804">
        <f>'Part VIII Scoring Criteria'!J383</f>
        <v>0</v>
      </c>
      <c r="K1532" s="2804">
        <f>$P$265</f>
        <v>0</v>
      </c>
      <c r="L1532" s="2840"/>
      <c r="M1532" s="2466"/>
      <c r="N1532" s="2011"/>
      <c r="O1532" s="2026"/>
      <c r="P1532" s="2026"/>
      <c r="Q1532" s="2466"/>
      <c r="R1532" s="2466"/>
      <c r="S1532" s="2466"/>
      <c r="T1532" s="2466"/>
      <c r="U1532" s="2466"/>
      <c r="V1532" s="2466"/>
      <c r="W1532" s="2466"/>
      <c r="X1532" s="2466"/>
      <c r="Y1532" s="2466"/>
      <c r="Z1532" s="2466"/>
      <c r="AA1532" s="2466"/>
      <c r="AB1532" s="1997"/>
      <c r="AC1532" s="1997"/>
      <c r="AD1532" s="1997"/>
      <c r="AE1532" s="1997"/>
      <c r="AF1532" s="1997"/>
    </row>
    <row r="1533" spans="1:32" ht="15">
      <c r="A1533" s="2466" t="s">
        <v>1610</v>
      </c>
      <c r="B1533" s="1996" t="s">
        <v>4854</v>
      </c>
      <c r="C1533" s="1997"/>
      <c r="D1533" s="2462"/>
      <c r="E1533" s="1997"/>
      <c r="F1533" s="1997"/>
      <c r="G1533" s="2809"/>
      <c r="H1533" s="1997"/>
      <c r="I1533" s="1997"/>
      <c r="J1533" s="1997"/>
      <c r="K1533" s="2811" t="str">
        <f>IF(OR($O1533&lt;=$M1533,$O1533=0,$O1533=""),"","*CHECK!*")</f>
        <v/>
      </c>
      <c r="L1533" s="2464" t="s">
        <v>4896</v>
      </c>
      <c r="M1533" s="2466">
        <v>22</v>
      </c>
      <c r="N1533" s="2011"/>
      <c r="O1533" s="2026">
        <f>'Part VIII Scoring Criteria'!O384</f>
        <v>0</v>
      </c>
      <c r="P1533" s="2026">
        <f>'Part VIII Scoring Criteria'!P384</f>
        <v>0</v>
      </c>
      <c r="Q1533" s="2466" t="s">
        <v>415</v>
      </c>
      <c r="R1533" s="2812"/>
      <c r="S1533" s="1997"/>
      <c r="T1533" s="1997"/>
      <c r="U1533" s="1997"/>
      <c r="V1533" s="1997"/>
      <c r="W1533" s="1997"/>
      <c r="X1533" s="1997"/>
      <c r="Y1533" s="1997"/>
      <c r="Z1533" s="1997"/>
      <c r="AA1533" s="1997"/>
      <c r="AB1533" s="1997"/>
      <c r="AC1533" s="1997"/>
      <c r="AD1533" s="1997"/>
      <c r="AE1533" s="1997"/>
      <c r="AF1533" s="1997"/>
    </row>
    <row r="1534" spans="1:32" ht="15">
      <c r="A1534" s="2466"/>
      <c r="B1534" s="2813"/>
      <c r="C1534" s="2030" t="s">
        <v>4927</v>
      </c>
      <c r="D1534" s="1997"/>
      <c r="E1534" s="1997"/>
      <c r="F1534" s="1997"/>
      <c r="G1534" s="1997"/>
      <c r="H1534" s="2902" t="s">
        <v>4939</v>
      </c>
      <c r="I1534" s="2466"/>
      <c r="J1534" s="2849">
        <f>'Part VIII Scoring Criteria'!J385</f>
        <v>0</v>
      </c>
      <c r="K1534" s="2030"/>
      <c r="L1534" s="2840" t="s">
        <v>4896</v>
      </c>
      <c r="M1534" s="2842">
        <v>3</v>
      </c>
      <c r="N1534" s="2464"/>
      <c r="O1534" s="2026">
        <f>'Part VIII Scoring Criteria'!O385</f>
        <v>0</v>
      </c>
      <c r="P1534" s="2026"/>
      <c r="Q1534" s="2812"/>
      <c r="R1534" s="1997"/>
      <c r="S1534" s="1997"/>
      <c r="T1534" s="1997"/>
      <c r="U1534" s="1997"/>
      <c r="V1534" s="2462"/>
      <c r="W1534" s="1997"/>
      <c r="X1534" s="1997"/>
      <c r="Y1534" s="1997"/>
      <c r="Z1534" s="1997"/>
      <c r="AA1534" s="1997"/>
      <c r="AB1534" s="1997"/>
      <c r="AC1534" s="1997"/>
      <c r="AD1534" s="1997"/>
      <c r="AE1534" s="1997"/>
      <c r="AF1534" s="1997"/>
    </row>
    <row r="1535" spans="1:32" ht="15">
      <c r="A1535" s="2466"/>
      <c r="B1535" s="2815"/>
      <c r="C1535" s="2033" t="s">
        <v>4928</v>
      </c>
      <c r="D1535" s="2033"/>
      <c r="E1535" s="2033"/>
      <c r="F1535" s="1997"/>
      <c r="G1535" s="1997"/>
      <c r="H1535" s="2850" t="s">
        <v>4938</v>
      </c>
      <c r="I1535" s="2033"/>
      <c r="J1535" s="2032">
        <f>'Part VIII Scoring Criteria'!J386</f>
        <v>0</v>
      </c>
      <c r="K1535" s="2033"/>
      <c r="L1535" s="2840" t="s">
        <v>4896</v>
      </c>
      <c r="M1535" s="2842">
        <v>3</v>
      </c>
      <c r="N1535" s="2464"/>
      <c r="O1535" s="2026">
        <f>'Part VIII Scoring Criteria'!O386</f>
        <v>0</v>
      </c>
      <c r="P1535" s="2026"/>
      <c r="Q1535" s="2464"/>
      <c r="R1535" s="1997"/>
      <c r="S1535" s="1997"/>
      <c r="T1535" s="1997"/>
      <c r="U1535" s="1997"/>
      <c r="V1535" s="2462"/>
      <c r="W1535" s="1997"/>
      <c r="X1535" s="1997"/>
      <c r="Y1535" s="1997"/>
      <c r="Z1535" s="1997"/>
      <c r="AA1535" s="1997"/>
      <c r="AB1535" s="1997"/>
      <c r="AC1535" s="1997"/>
      <c r="AD1535" s="1997"/>
      <c r="AE1535" s="1997"/>
      <c r="AF1535" s="1997"/>
    </row>
    <row r="1536" spans="1:32" ht="15">
      <c r="A1536" s="2027"/>
      <c r="B1536" s="2813"/>
      <c r="C1536" s="1997" t="s">
        <v>4739</v>
      </c>
      <c r="D1536" s="2027"/>
      <c r="E1536" s="2027"/>
      <c r="F1536" s="2850" t="s">
        <v>4929</v>
      </c>
      <c r="G1536" s="2027"/>
      <c r="H1536" s="2027"/>
      <c r="I1536" s="2027"/>
      <c r="J1536" s="2027"/>
      <c r="K1536" s="2011" t="str">
        <f>IF(OR($O1536="",$O$12="4%"),"","Ineligible!")</f>
        <v>Ineligible!</v>
      </c>
      <c r="L1536" s="2840" t="s">
        <v>4896</v>
      </c>
      <c r="M1536" s="2011">
        <v>10</v>
      </c>
      <c r="N1536" s="2464"/>
      <c r="O1536" s="2026">
        <f>'Part VIII Scoring Criteria'!O387</f>
        <v>0</v>
      </c>
      <c r="P1536" s="2026"/>
      <c r="Q1536" s="2811" t="str">
        <f>IF(OR($O1536&lt;=$M1536,$O1536=0,$O1536=""),"","*CHECK!*")</f>
        <v/>
      </c>
      <c r="R1536" s="2812"/>
      <c r="S1536" s="2027"/>
      <c r="T1536" s="2027"/>
      <c r="U1536" s="2027"/>
      <c r="V1536" s="2027"/>
      <c r="W1536" s="2027"/>
      <c r="X1536" s="2027"/>
      <c r="Y1536" s="2027"/>
      <c r="Z1536" s="2027"/>
      <c r="AA1536" s="2027"/>
      <c r="AB1536" s="2027"/>
      <c r="AC1536" s="2027"/>
      <c r="AD1536" s="2027"/>
      <c r="AE1536" s="2027"/>
      <c r="AF1536" s="2027"/>
    </row>
    <row r="1537" spans="1:32" ht="15">
      <c r="A1537" s="2466"/>
      <c r="B1537" s="2027" t="s">
        <v>1132</v>
      </c>
      <c r="C1537" s="2027"/>
      <c r="D1537" s="2027" t="s">
        <v>4743</v>
      </c>
      <c r="E1537" s="1997"/>
      <c r="F1537" s="1997"/>
      <c r="G1537" s="1997" t="s">
        <v>4121</v>
      </c>
      <c r="H1537" s="1997"/>
      <c r="I1537" s="1997"/>
      <c r="J1537" s="1997" t="s">
        <v>574</v>
      </c>
      <c r="K1537" s="2027"/>
      <c r="L1537" s="2016" t="s">
        <v>4744</v>
      </c>
      <c r="M1537" s="2027" t="s">
        <v>4748</v>
      </c>
      <c r="N1537" s="2027"/>
      <c r="O1537" s="2027"/>
      <c r="P1537" s="2027"/>
      <c r="Q1537" s="2811"/>
      <c r="R1537" s="2027"/>
      <c r="S1537" s="2027"/>
      <c r="T1537" s="2027"/>
      <c r="U1537" s="2027"/>
      <c r="V1537" s="2027"/>
      <c r="W1537" s="2027"/>
      <c r="X1537" s="2027"/>
      <c r="Y1537" s="2027"/>
      <c r="Z1537" s="2027"/>
      <c r="AA1537" s="2027"/>
      <c r="AB1537" s="2027"/>
      <c r="AC1537" s="2027"/>
      <c r="AD1537" s="2027"/>
      <c r="AE1537" s="2027"/>
      <c r="AF1537" s="2027"/>
    </row>
    <row r="1538" spans="1:32" ht="14.25">
      <c r="A1538" s="2814" t="s">
        <v>1958</v>
      </c>
      <c r="B1538" s="1997">
        <f>'Part VIII Scoring Criteria'!B389</f>
        <v>0</v>
      </c>
      <c r="C1538" s="1997"/>
      <c r="D1538" s="1997">
        <f>'Part VIII Scoring Criteria'!D389</f>
        <v>0</v>
      </c>
      <c r="E1538" s="1997"/>
      <c r="F1538" s="1997"/>
      <c r="G1538" s="1997">
        <f>'Part VIII Scoring Criteria'!G389</f>
        <v>0</v>
      </c>
      <c r="H1538" s="1997"/>
      <c r="I1538" s="1997"/>
      <c r="J1538" s="1997">
        <f>'Part VIII Scoring Criteria'!J389</f>
        <v>0</v>
      </c>
      <c r="K1538" s="1997"/>
      <c r="L1538" s="2903">
        <f>'Part VIII Scoring Criteria'!L389</f>
        <v>0</v>
      </c>
      <c r="M1538" s="1997">
        <f>'Part VIII Scoring Criteria'!M389</f>
        <v>0</v>
      </c>
      <c r="N1538" s="1997"/>
      <c r="O1538" s="1997"/>
      <c r="P1538" s="1997"/>
      <c r="Q1538" s="2811"/>
      <c r="R1538" s="2027"/>
      <c r="S1538" s="2027"/>
      <c r="T1538" s="2027"/>
      <c r="U1538" s="2027"/>
      <c r="V1538" s="2027"/>
      <c r="W1538" s="2027"/>
      <c r="X1538" s="2027"/>
      <c r="Y1538" s="2027"/>
      <c r="Z1538" s="2027"/>
      <c r="AA1538" s="2027"/>
      <c r="AB1538" s="2027"/>
      <c r="AC1538" s="2027"/>
      <c r="AD1538" s="2027"/>
      <c r="AE1538" s="2027"/>
      <c r="AF1538" s="2027"/>
    </row>
    <row r="1539" spans="1:32" ht="14.25">
      <c r="A1539" s="2814" t="s">
        <v>1959</v>
      </c>
      <c r="B1539" s="1997">
        <f>'Part VIII Scoring Criteria'!B390</f>
        <v>0</v>
      </c>
      <c r="C1539" s="1997"/>
      <c r="D1539" s="1997">
        <f>'Part VIII Scoring Criteria'!D390</f>
        <v>0</v>
      </c>
      <c r="E1539" s="1997"/>
      <c r="F1539" s="1997"/>
      <c r="G1539" s="1997">
        <f>'Part VIII Scoring Criteria'!G390</f>
        <v>0</v>
      </c>
      <c r="H1539" s="1997"/>
      <c r="I1539" s="1997"/>
      <c r="J1539" s="1997">
        <f>'Part VIII Scoring Criteria'!J390</f>
        <v>0</v>
      </c>
      <c r="K1539" s="1997"/>
      <c r="L1539" s="2903">
        <f>'Part VIII Scoring Criteria'!L390</f>
        <v>0</v>
      </c>
      <c r="M1539" s="1997">
        <f>'Part VIII Scoring Criteria'!M390</f>
        <v>0</v>
      </c>
      <c r="N1539" s="1997"/>
      <c r="O1539" s="1997"/>
      <c r="P1539" s="1997"/>
      <c r="Q1539" s="2811"/>
      <c r="R1539" s="2027"/>
      <c r="S1539" s="2027"/>
      <c r="T1539" s="2027"/>
      <c r="U1539" s="2027"/>
      <c r="V1539" s="2027"/>
      <c r="W1539" s="2027"/>
      <c r="X1539" s="2027"/>
      <c r="Y1539" s="2027"/>
      <c r="Z1539" s="2027"/>
      <c r="AA1539" s="2027"/>
      <c r="AB1539" s="2027"/>
      <c r="AC1539" s="2027"/>
      <c r="AD1539" s="2027"/>
      <c r="AE1539" s="2027"/>
      <c r="AF1539" s="2027"/>
    </row>
    <row r="1540" spans="1:32" ht="14.25">
      <c r="A1540" s="2814" t="s">
        <v>1608</v>
      </c>
      <c r="B1540" s="1997">
        <f>'Part VIII Scoring Criteria'!B391</f>
        <v>0</v>
      </c>
      <c r="C1540" s="1997"/>
      <c r="D1540" s="1997">
        <f>'Part VIII Scoring Criteria'!D391</f>
        <v>0</v>
      </c>
      <c r="E1540" s="1997"/>
      <c r="F1540" s="1997"/>
      <c r="G1540" s="1997">
        <f>'Part VIII Scoring Criteria'!G391</f>
        <v>0</v>
      </c>
      <c r="H1540" s="1997"/>
      <c r="I1540" s="1997"/>
      <c r="J1540" s="1997">
        <f>'Part VIII Scoring Criteria'!J391</f>
        <v>0</v>
      </c>
      <c r="K1540" s="1997"/>
      <c r="L1540" s="2903">
        <f>'Part VIII Scoring Criteria'!L391</f>
        <v>0</v>
      </c>
      <c r="M1540" s="1997">
        <f>'Part VIII Scoring Criteria'!M391</f>
        <v>0</v>
      </c>
      <c r="N1540" s="1997"/>
      <c r="O1540" s="1997"/>
      <c r="P1540" s="1997"/>
      <c r="Q1540" s="2811"/>
      <c r="R1540" s="2027"/>
      <c r="S1540" s="2027"/>
      <c r="T1540" s="2027"/>
      <c r="U1540" s="2027"/>
      <c r="V1540" s="2027"/>
      <c r="W1540" s="2027"/>
      <c r="X1540" s="2027"/>
      <c r="Y1540" s="2027"/>
      <c r="Z1540" s="2027"/>
      <c r="AA1540" s="2027"/>
      <c r="AB1540" s="2027"/>
      <c r="AC1540" s="2027"/>
      <c r="AD1540" s="2027"/>
      <c r="AE1540" s="2027"/>
      <c r="AF1540" s="2027"/>
    </row>
    <row r="1541" spans="1:32" ht="14.25">
      <c r="A1541" s="2814" t="s">
        <v>3742</v>
      </c>
      <c r="B1541" s="1997">
        <f>'Part VIII Scoring Criteria'!B392</f>
        <v>0</v>
      </c>
      <c r="C1541" s="1997"/>
      <c r="D1541" s="1997">
        <f>'Part VIII Scoring Criteria'!D392</f>
        <v>0</v>
      </c>
      <c r="E1541" s="1997"/>
      <c r="F1541" s="1997"/>
      <c r="G1541" s="1997">
        <f>'Part VIII Scoring Criteria'!G392</f>
        <v>0</v>
      </c>
      <c r="H1541" s="1997"/>
      <c r="I1541" s="1997"/>
      <c r="J1541" s="1997">
        <f>'Part VIII Scoring Criteria'!J392</f>
        <v>0</v>
      </c>
      <c r="K1541" s="1997"/>
      <c r="L1541" s="2903">
        <f>'Part VIII Scoring Criteria'!L392</f>
        <v>0</v>
      </c>
      <c r="M1541" s="1997">
        <f>'Part VIII Scoring Criteria'!M392</f>
        <v>0</v>
      </c>
      <c r="N1541" s="1997"/>
      <c r="O1541" s="1997"/>
      <c r="P1541" s="1997"/>
      <c r="Q1541" s="2811"/>
      <c r="R1541" s="2027"/>
      <c r="S1541" s="2027"/>
      <c r="T1541" s="2027"/>
      <c r="U1541" s="2027"/>
      <c r="V1541" s="2027"/>
      <c r="W1541" s="2027"/>
      <c r="X1541" s="2027"/>
      <c r="Y1541" s="2027"/>
      <c r="Z1541" s="2027"/>
      <c r="AA1541" s="2027"/>
      <c r="AB1541" s="2027"/>
      <c r="AC1541" s="2027"/>
      <c r="AD1541" s="2027"/>
      <c r="AE1541" s="2027"/>
      <c r="AF1541" s="2027"/>
    </row>
    <row r="1542" spans="1:32" ht="14.25">
      <c r="A1542" s="2814" t="s">
        <v>4690</v>
      </c>
      <c r="B1542" s="1997">
        <f>'Part VIII Scoring Criteria'!B393</f>
        <v>0</v>
      </c>
      <c r="C1542" s="1997"/>
      <c r="D1542" s="1997">
        <f>'Part VIII Scoring Criteria'!D393</f>
        <v>0</v>
      </c>
      <c r="E1542" s="1997"/>
      <c r="F1542" s="1997"/>
      <c r="G1542" s="1997">
        <f>'Part VIII Scoring Criteria'!G393</f>
        <v>0</v>
      </c>
      <c r="H1542" s="1997"/>
      <c r="I1542" s="1997"/>
      <c r="J1542" s="1997">
        <f>'Part VIII Scoring Criteria'!J393</f>
        <v>0</v>
      </c>
      <c r="K1542" s="1997"/>
      <c r="L1542" s="2903">
        <f>'Part VIII Scoring Criteria'!L393</f>
        <v>0</v>
      </c>
      <c r="M1542" s="1997">
        <f>'Part VIII Scoring Criteria'!M393</f>
        <v>0</v>
      </c>
      <c r="N1542" s="1997"/>
      <c r="O1542" s="1997"/>
      <c r="P1542" s="1997"/>
      <c r="Q1542" s="2811"/>
      <c r="R1542" s="2027"/>
      <c r="S1542" s="2027"/>
      <c r="T1542" s="2027"/>
      <c r="U1542" s="2027"/>
      <c r="V1542" s="2027"/>
      <c r="W1542" s="2027"/>
      <c r="X1542" s="2027"/>
      <c r="Y1542" s="2027"/>
      <c r="Z1542" s="2027"/>
      <c r="AA1542" s="2027"/>
      <c r="AB1542" s="2027"/>
      <c r="AC1542" s="2027"/>
      <c r="AD1542" s="2027"/>
      <c r="AE1542" s="2027"/>
      <c r="AF1542" s="2027"/>
    </row>
    <row r="1543" spans="1:32" ht="14.25">
      <c r="A1543" s="2814" t="s">
        <v>4691</v>
      </c>
      <c r="B1543" s="1997">
        <f>'Part VIII Scoring Criteria'!B394</f>
        <v>0</v>
      </c>
      <c r="C1543" s="1997"/>
      <c r="D1543" s="1997">
        <f>'Part VIII Scoring Criteria'!D394</f>
        <v>0</v>
      </c>
      <c r="E1543" s="1997"/>
      <c r="F1543" s="1997"/>
      <c r="G1543" s="1997">
        <f>'Part VIII Scoring Criteria'!G394</f>
        <v>0</v>
      </c>
      <c r="H1543" s="1997"/>
      <c r="I1543" s="1997"/>
      <c r="J1543" s="1997">
        <f>'Part VIII Scoring Criteria'!J394</f>
        <v>0</v>
      </c>
      <c r="K1543" s="1997"/>
      <c r="L1543" s="2903">
        <f>'Part VIII Scoring Criteria'!L394</f>
        <v>0</v>
      </c>
      <c r="M1543" s="1997">
        <f>'Part VIII Scoring Criteria'!M394</f>
        <v>0</v>
      </c>
      <c r="N1543" s="1997"/>
      <c r="O1543" s="1997"/>
      <c r="P1543" s="1997"/>
      <c r="Q1543" s="2811"/>
      <c r="R1543" s="2027"/>
      <c r="S1543" s="2027"/>
      <c r="T1543" s="2027"/>
      <c r="U1543" s="2027"/>
      <c r="V1543" s="2027"/>
      <c r="W1543" s="2027"/>
      <c r="X1543" s="2027"/>
      <c r="Y1543" s="2027"/>
      <c r="Z1543" s="2027"/>
      <c r="AA1543" s="2027"/>
      <c r="AB1543" s="2027"/>
      <c r="AC1543" s="2027"/>
      <c r="AD1543" s="2027"/>
      <c r="AE1543" s="2027"/>
      <c r="AF1543" s="2027"/>
    </row>
    <row r="1544" spans="1:32" ht="14.25">
      <c r="A1544" s="2814" t="s">
        <v>4930</v>
      </c>
      <c r="B1544" s="1997">
        <f>'Part VIII Scoring Criteria'!B395</f>
        <v>0</v>
      </c>
      <c r="C1544" s="1997"/>
      <c r="D1544" s="1997">
        <f>'Part VIII Scoring Criteria'!D395</f>
        <v>0</v>
      </c>
      <c r="E1544" s="1997"/>
      <c r="F1544" s="1997"/>
      <c r="G1544" s="1997">
        <f>'Part VIII Scoring Criteria'!G395</f>
        <v>0</v>
      </c>
      <c r="H1544" s="1997"/>
      <c r="I1544" s="1997"/>
      <c r="J1544" s="1997">
        <f>'Part VIII Scoring Criteria'!J395</f>
        <v>0</v>
      </c>
      <c r="K1544" s="1997"/>
      <c r="L1544" s="2903">
        <f>'Part VIII Scoring Criteria'!L395</f>
        <v>0</v>
      </c>
      <c r="M1544" s="1997">
        <f>'Part VIII Scoring Criteria'!M395</f>
        <v>0</v>
      </c>
      <c r="N1544" s="1997"/>
      <c r="O1544" s="1997"/>
      <c r="P1544" s="1997"/>
      <c r="Q1544" s="2811"/>
      <c r="R1544" s="2027"/>
      <c r="S1544" s="2027"/>
      <c r="T1544" s="2027"/>
      <c r="U1544" s="2027"/>
      <c r="V1544" s="2027"/>
      <c r="W1544" s="2027"/>
      <c r="X1544" s="2027"/>
      <c r="Y1544" s="2027"/>
      <c r="Z1544" s="2027"/>
      <c r="AA1544" s="2027"/>
      <c r="AB1544" s="2027"/>
      <c r="AC1544" s="2027"/>
      <c r="AD1544" s="2027"/>
      <c r="AE1544" s="2027"/>
      <c r="AF1544" s="2027"/>
    </row>
    <row r="1545" spans="1:32" ht="14.25">
      <c r="A1545" s="2814" t="s">
        <v>4931</v>
      </c>
      <c r="B1545" s="1997">
        <f>'Part VIII Scoring Criteria'!B396</f>
        <v>0</v>
      </c>
      <c r="C1545" s="1997"/>
      <c r="D1545" s="1997">
        <f>'Part VIII Scoring Criteria'!D396</f>
        <v>0</v>
      </c>
      <c r="E1545" s="1997"/>
      <c r="F1545" s="1997"/>
      <c r="G1545" s="1997">
        <f>'Part VIII Scoring Criteria'!G396</f>
        <v>0</v>
      </c>
      <c r="H1545" s="1997"/>
      <c r="I1545" s="1997"/>
      <c r="J1545" s="1997">
        <f>'Part VIII Scoring Criteria'!J396</f>
        <v>0</v>
      </c>
      <c r="K1545" s="1997"/>
      <c r="L1545" s="2903">
        <f>'Part VIII Scoring Criteria'!L396</f>
        <v>0</v>
      </c>
      <c r="M1545" s="1997">
        <f>'Part VIII Scoring Criteria'!M396</f>
        <v>0</v>
      </c>
      <c r="N1545" s="1997"/>
      <c r="O1545" s="1997"/>
      <c r="P1545" s="1997"/>
      <c r="Q1545" s="2811"/>
      <c r="R1545" s="2027"/>
      <c r="S1545" s="2027"/>
      <c r="T1545" s="2027"/>
      <c r="U1545" s="2027"/>
      <c r="V1545" s="2027"/>
      <c r="W1545" s="2027"/>
      <c r="X1545" s="2027"/>
      <c r="Y1545" s="2027"/>
      <c r="Z1545" s="2027"/>
      <c r="AA1545" s="2027"/>
      <c r="AB1545" s="2027"/>
      <c r="AC1545" s="2027"/>
      <c r="AD1545" s="2027"/>
      <c r="AE1545" s="2027"/>
      <c r="AF1545" s="2027"/>
    </row>
    <row r="1546" spans="1:32" ht="14.25">
      <c r="A1546" s="2814" t="s">
        <v>4904</v>
      </c>
      <c r="B1546" s="1997">
        <f>'Part VIII Scoring Criteria'!B397</f>
        <v>0</v>
      </c>
      <c r="C1546" s="1997"/>
      <c r="D1546" s="1997">
        <f>'Part VIII Scoring Criteria'!D397</f>
        <v>0</v>
      </c>
      <c r="E1546" s="1997"/>
      <c r="F1546" s="1997"/>
      <c r="G1546" s="1997">
        <f>'Part VIII Scoring Criteria'!G397</f>
        <v>0</v>
      </c>
      <c r="H1546" s="1997"/>
      <c r="I1546" s="1997"/>
      <c r="J1546" s="1997">
        <f>'Part VIII Scoring Criteria'!J397</f>
        <v>0</v>
      </c>
      <c r="K1546" s="1997"/>
      <c r="L1546" s="2903">
        <f>'Part VIII Scoring Criteria'!L397</f>
        <v>0</v>
      </c>
      <c r="M1546" s="1997">
        <f>'Part VIII Scoring Criteria'!M397</f>
        <v>0</v>
      </c>
      <c r="N1546" s="1997"/>
      <c r="O1546" s="1997"/>
      <c r="P1546" s="1997"/>
      <c r="Q1546" s="2027"/>
      <c r="R1546" s="2027"/>
      <c r="S1546" s="2027"/>
      <c r="T1546" s="2027"/>
      <c r="U1546" s="2027"/>
      <c r="V1546" s="2027"/>
      <c r="W1546" s="2027"/>
      <c r="X1546" s="2027"/>
      <c r="Y1546" s="2027"/>
      <c r="Z1546" s="2027"/>
      <c r="AA1546" s="2027"/>
      <c r="AB1546" s="2027"/>
      <c r="AC1546" s="2027"/>
      <c r="AD1546" s="2027"/>
      <c r="AE1546" s="2027"/>
      <c r="AF1546" s="2027"/>
    </row>
    <row r="1547" spans="1:32" ht="14.25">
      <c r="A1547" s="2814" t="s">
        <v>4932</v>
      </c>
      <c r="B1547" s="1997">
        <f>'Part VIII Scoring Criteria'!B398</f>
        <v>0</v>
      </c>
      <c r="C1547" s="1997"/>
      <c r="D1547" s="1997">
        <f>'Part VIII Scoring Criteria'!D398</f>
        <v>0</v>
      </c>
      <c r="E1547" s="1997"/>
      <c r="F1547" s="1997"/>
      <c r="G1547" s="1997">
        <f>'Part VIII Scoring Criteria'!G398</f>
        <v>0</v>
      </c>
      <c r="H1547" s="1997"/>
      <c r="I1547" s="1997"/>
      <c r="J1547" s="1997">
        <f>'Part VIII Scoring Criteria'!J398</f>
        <v>0</v>
      </c>
      <c r="K1547" s="1997"/>
      <c r="L1547" s="2903">
        <f>'Part VIII Scoring Criteria'!L398</f>
        <v>0</v>
      </c>
      <c r="M1547" s="1997">
        <f>'Part VIII Scoring Criteria'!M398</f>
        <v>0</v>
      </c>
      <c r="N1547" s="1997"/>
      <c r="O1547" s="1997"/>
      <c r="P1547" s="1997"/>
      <c r="Q1547" s="2811"/>
      <c r="R1547" s="2027"/>
      <c r="S1547" s="2027"/>
      <c r="T1547" s="2027"/>
      <c r="U1547" s="2027"/>
      <c r="V1547" s="2027"/>
      <c r="W1547" s="2027"/>
      <c r="X1547" s="2027"/>
      <c r="Y1547" s="2027"/>
      <c r="Z1547" s="2027"/>
      <c r="AA1547" s="2027"/>
      <c r="AB1547" s="2027"/>
      <c r="AC1547" s="2027"/>
      <c r="AD1547" s="2027"/>
      <c r="AE1547" s="2027"/>
      <c r="AF1547" s="2027"/>
    </row>
    <row r="1548" spans="1:32" ht="15">
      <c r="A1548" s="2817"/>
      <c r="B1548" s="2815"/>
      <c r="C1548" s="2033" t="s">
        <v>4740</v>
      </c>
      <c r="D1548" s="2033"/>
      <c r="E1548" s="2033"/>
      <c r="F1548" s="2850" t="s">
        <v>4929</v>
      </c>
      <c r="G1548" s="2033"/>
      <c r="H1548" s="2850" t="s">
        <v>4937</v>
      </c>
      <c r="I1548" s="2033"/>
      <c r="J1548" s="2849">
        <f>'Part VIII Scoring Criteria'!J399</f>
        <v>0</v>
      </c>
      <c r="K1548" s="2011" t="str">
        <f>IF(OR($O1548="",$O$12="4%"),"","Ineligible!")</f>
        <v>Ineligible!</v>
      </c>
      <c r="L1548" s="2840" t="s">
        <v>4896</v>
      </c>
      <c r="M1548" s="2011">
        <v>6</v>
      </c>
      <c r="N1548" s="2464"/>
      <c r="O1548" s="2026">
        <f>'Part VIII Scoring Criteria'!O399</f>
        <v>0</v>
      </c>
      <c r="P1548" s="2026"/>
      <c r="Q1548" s="2811" t="str">
        <f>IF(OR($O1548&lt;=$M1548,$O1548=0,$O1548=""),"","*CHECK!*")</f>
        <v/>
      </c>
      <c r="R1548" s="2033"/>
      <c r="S1548" s="2033"/>
      <c r="T1548" s="2033"/>
      <c r="U1548" s="2033"/>
      <c r="V1548" s="2033"/>
      <c r="W1548" s="2033"/>
      <c r="X1548" s="2033"/>
      <c r="Y1548" s="2033"/>
      <c r="Z1548" s="2033"/>
      <c r="AA1548" s="2033"/>
      <c r="AB1548" s="2033"/>
      <c r="AC1548" s="2033"/>
      <c r="AD1548" s="2033"/>
      <c r="AE1548" s="2033"/>
      <c r="AF1548" s="2033"/>
    </row>
    <row r="1549" spans="1:32" ht="15">
      <c r="A1549" s="1997"/>
      <c r="B1549" s="2806" t="s">
        <v>5113</v>
      </c>
      <c r="C1549" s="1997"/>
      <c r="D1549" s="1997"/>
      <c r="E1549" s="1997"/>
      <c r="F1549" s="1997"/>
      <c r="G1549" s="1997"/>
      <c r="H1549" s="1997"/>
      <c r="I1549" s="1997"/>
      <c r="J1549" s="1997"/>
      <c r="K1549" s="1997"/>
      <c r="L1549" s="2027"/>
      <c r="M1549" s="2011"/>
      <c r="N1549" s="2016"/>
      <c r="O1549" s="2026"/>
      <c r="P1549" s="2029"/>
      <c r="Q1549" s="2027"/>
      <c r="R1549" s="2027"/>
      <c r="S1549" s="2027"/>
      <c r="T1549" s="2027"/>
      <c r="U1549" s="2027"/>
      <c r="V1549" s="2027"/>
      <c r="W1549" s="2027"/>
      <c r="X1549" s="2027"/>
      <c r="Y1549" s="2027"/>
      <c r="Z1549" s="2027"/>
      <c r="AA1549" s="2027"/>
      <c r="AB1549" s="2027"/>
      <c r="AC1549" s="2027"/>
      <c r="AD1549" s="2027"/>
      <c r="AE1549" s="2027"/>
      <c r="AF1549" s="2027"/>
    </row>
    <row r="1550" spans="1:32" ht="15">
      <c r="A1550" s="2821">
        <f>'Part VIII Scoring Criteria'!A401</f>
        <v>0</v>
      </c>
      <c r="B1550" s="2821"/>
      <c r="C1550" s="2821"/>
      <c r="D1550" s="2821"/>
      <c r="E1550" s="2821"/>
      <c r="F1550" s="2821"/>
      <c r="G1550" s="2821"/>
      <c r="H1550" s="2821"/>
      <c r="I1550" s="2821"/>
      <c r="J1550" s="2821"/>
      <c r="K1550" s="2821"/>
      <c r="L1550" s="2821"/>
      <c r="M1550" s="2821"/>
      <c r="N1550" s="2821"/>
      <c r="O1550" s="2821"/>
      <c r="P1550" s="2821"/>
      <c r="Q1550" s="1996"/>
      <c r="R1550" s="1996"/>
      <c r="S1550" s="2027"/>
      <c r="T1550" s="2027"/>
      <c r="U1550" s="2027"/>
      <c r="V1550" s="2027"/>
      <c r="W1550" s="2027"/>
      <c r="X1550" s="2027"/>
      <c r="Y1550" s="2027"/>
      <c r="Z1550" s="2027"/>
      <c r="AA1550" s="2027"/>
      <c r="AB1550" s="2027"/>
      <c r="AC1550" s="2027"/>
      <c r="AD1550" s="2027"/>
      <c r="AE1550" s="2027"/>
      <c r="AF1550" s="2027"/>
    </row>
    <row r="1551" spans="1:32" ht="15">
      <c r="A1551" s="2806"/>
      <c r="B1551" s="2806" t="s">
        <v>1725</v>
      </c>
      <c r="C1551" s="1997"/>
      <c r="D1551" s="2806"/>
      <c r="E1551" s="2030"/>
      <c r="F1551" s="2030"/>
      <c r="G1551" s="2030"/>
      <c r="H1551" s="2030"/>
      <c r="I1551" s="2030"/>
      <c r="J1551" s="2030"/>
      <c r="K1551" s="2030"/>
      <c r="L1551" s="2030"/>
      <c r="M1551" s="2030"/>
      <c r="N1551" s="2011"/>
      <c r="O1551" s="2466"/>
      <c r="P1551" s="2466"/>
      <c r="Q1551" s="1997"/>
      <c r="R1551" s="1997"/>
      <c r="S1551" s="1997"/>
      <c r="T1551" s="1997"/>
      <c r="U1551" s="1997"/>
      <c r="V1551" s="1997"/>
      <c r="W1551" s="1997"/>
      <c r="X1551" s="1997"/>
      <c r="Y1551" s="1997"/>
      <c r="Z1551" s="1997"/>
      <c r="AA1551" s="1997"/>
      <c r="AB1551" s="1997"/>
      <c r="AC1551" s="1997"/>
      <c r="AD1551" s="1997"/>
      <c r="AE1551" s="1997"/>
      <c r="AF1551" s="1997"/>
    </row>
    <row r="1552" spans="1:32" ht="15">
      <c r="A1552" s="2033"/>
      <c r="B1552" s="2033"/>
      <c r="C1552" s="2033"/>
      <c r="D1552" s="2033"/>
      <c r="E1552" s="2033"/>
      <c r="F1552" s="2033"/>
      <c r="G1552" s="2033"/>
      <c r="H1552" s="2033"/>
      <c r="I1552" s="2033"/>
      <c r="J1552" s="2033"/>
      <c r="K1552" s="2033"/>
      <c r="L1552" s="2033"/>
      <c r="M1552" s="2033"/>
      <c r="N1552" s="2033"/>
      <c r="O1552" s="2033"/>
      <c r="P1552" s="2033"/>
      <c r="Q1552" s="1996"/>
      <c r="R1552" s="1996"/>
      <c r="S1552" s="2027"/>
      <c r="T1552" s="2027"/>
      <c r="U1552" s="2027"/>
      <c r="V1552" s="2027"/>
      <c r="W1552" s="2027"/>
      <c r="X1552" s="2027"/>
      <c r="Y1552" s="2027"/>
      <c r="Z1552" s="2027"/>
      <c r="AA1552" s="2027"/>
      <c r="AB1552" s="2027"/>
      <c r="AC1552" s="2027"/>
      <c r="AD1552" s="2027"/>
      <c r="AE1552" s="2027"/>
      <c r="AF1552" s="2027"/>
    </row>
    <row r="1553" spans="1:32" ht="14.1" customHeight="1">
      <c r="A1553" s="1997"/>
      <c r="B1553" s="1997"/>
      <c r="C1553" s="2034"/>
      <c r="D1553" s="2034"/>
      <c r="E1553" s="2034"/>
      <c r="F1553" s="2034"/>
      <c r="G1553" s="2034"/>
      <c r="H1553" s="2034"/>
      <c r="I1553" s="2034"/>
      <c r="J1553" s="2034"/>
      <c r="K1553" s="2034"/>
      <c r="L1553" s="2034"/>
      <c r="M1553" s="2034"/>
      <c r="N1553" s="2032"/>
      <c r="O1553" s="2817"/>
      <c r="P1553" s="2466"/>
      <c r="Q1553" s="2897" t="s">
        <v>5127</v>
      </c>
      <c r="R1553" s="2897"/>
      <c r="S1553" s="2897"/>
      <c r="T1553" s="2897"/>
      <c r="U1553" s="2897"/>
      <c r="V1553" s="2897"/>
      <c r="W1553" s="2897"/>
      <c r="X1553" s="2897"/>
      <c r="Y1553" s="2897"/>
      <c r="Z1553" s="2897"/>
      <c r="AA1553" s="2897"/>
      <c r="AB1553" s="2897"/>
      <c r="AC1553" s="2897"/>
      <c r="AD1553" s="2897"/>
      <c r="AE1553" s="2897"/>
      <c r="AF1553" s="2897"/>
    </row>
    <row r="1554" spans="1:32" ht="15">
      <c r="A1554" s="1997"/>
      <c r="B1554" s="1997"/>
      <c r="C1554" s="2034"/>
      <c r="D1554" s="2034"/>
      <c r="E1554" s="2034"/>
      <c r="F1554" s="2034"/>
      <c r="G1554" s="2034"/>
      <c r="H1554" s="2034"/>
      <c r="I1554" s="2034"/>
      <c r="J1554" s="2034"/>
      <c r="K1554" s="2034"/>
      <c r="L1554" s="2034"/>
      <c r="M1554" s="2034"/>
      <c r="N1554" s="2032"/>
      <c r="O1554" s="2817"/>
      <c r="P1554" s="2466"/>
      <c r="Q1554" s="2897"/>
      <c r="R1554" s="2897"/>
      <c r="S1554" s="2897"/>
      <c r="T1554" s="2897"/>
      <c r="U1554" s="2897"/>
      <c r="V1554" s="2897"/>
      <c r="W1554" s="2897"/>
      <c r="X1554" s="2897"/>
      <c r="Y1554" s="2897"/>
      <c r="Z1554" s="2897"/>
      <c r="AA1554" s="2897"/>
      <c r="AB1554" s="2897"/>
      <c r="AC1554" s="2897"/>
      <c r="AD1554" s="2897"/>
      <c r="AE1554" s="2897"/>
      <c r="AF1554" s="2897"/>
    </row>
    <row r="1555" spans="1:32" ht="15">
      <c r="A1555" s="2027"/>
      <c r="B1555" s="2027"/>
      <c r="C1555" s="2027"/>
      <c r="D1555" s="2027"/>
      <c r="E1555" s="2027"/>
      <c r="F1555" s="2027"/>
      <c r="G1555" s="2027"/>
      <c r="H1555" s="2027"/>
      <c r="I1555" s="2027"/>
      <c r="J1555" s="2027"/>
      <c r="K1555" s="2027"/>
      <c r="L1555" s="2027"/>
      <c r="M1555" s="2027"/>
      <c r="N1555" s="2016"/>
      <c r="O1555" s="2029"/>
      <c r="P1555" s="2029"/>
      <c r="Q1555" s="2897"/>
      <c r="R1555" s="2897"/>
      <c r="S1555" s="2897"/>
      <c r="T1555" s="2897"/>
      <c r="U1555" s="2897"/>
      <c r="V1555" s="2897"/>
      <c r="W1555" s="2897"/>
      <c r="X1555" s="2897"/>
      <c r="Y1555" s="2897"/>
      <c r="Z1555" s="2897"/>
      <c r="AA1555" s="2897"/>
      <c r="AB1555" s="2897"/>
      <c r="AC1555" s="2897"/>
      <c r="AD1555" s="2897"/>
      <c r="AE1555" s="2897"/>
      <c r="AF1555" s="2897"/>
    </row>
    <row r="1556" spans="1:32" ht="15">
      <c r="A1556" s="1996" t="s">
        <v>401</v>
      </c>
      <c r="B1556" s="2027"/>
      <c r="C1556" s="1997"/>
      <c r="D1556" s="2027"/>
      <c r="E1556" s="2027"/>
      <c r="F1556" s="2027"/>
      <c r="G1556" s="1997"/>
      <c r="H1556" s="1997"/>
      <c r="I1556" s="1997"/>
      <c r="J1556" s="1997"/>
      <c r="K1556" s="1997"/>
      <c r="L1556" s="1997"/>
      <c r="M1556" s="2026"/>
      <c r="N1556" s="2804"/>
      <c r="O1556" s="2805">
        <f>'Part VIII Scoring Criteria'!O407</f>
        <v>81</v>
      </c>
      <c r="P1556" s="2805">
        <f>'Part VIII Scoring Criteria'!P407</f>
        <v>12</v>
      </c>
      <c r="Q1556" s="2897"/>
      <c r="R1556" s="2897"/>
      <c r="S1556" s="2897"/>
      <c r="T1556" s="2897"/>
      <c r="U1556" s="2897"/>
      <c r="V1556" s="2897"/>
      <c r="W1556" s="2897"/>
      <c r="X1556" s="2897"/>
      <c r="Y1556" s="2897"/>
      <c r="Z1556" s="2897"/>
      <c r="AA1556" s="2897"/>
      <c r="AB1556" s="2897"/>
      <c r="AC1556" s="2897"/>
      <c r="AD1556" s="2897"/>
      <c r="AE1556" s="2897"/>
      <c r="AF1556" s="2897"/>
    </row>
    <row r="1557" spans="1:32" ht="14.25">
      <c r="A1557" s="1997"/>
      <c r="B1557" s="2027"/>
      <c r="C1557" s="2034"/>
      <c r="D1557" s="2034"/>
      <c r="E1557" s="2034"/>
      <c r="F1557" s="2034"/>
      <c r="G1557" s="2034"/>
      <c r="H1557" s="2034"/>
      <c r="I1557" s="2034"/>
      <c r="J1557" s="2034"/>
      <c r="K1557" s="2034"/>
      <c r="L1557" s="2034"/>
      <c r="M1557" s="2034"/>
      <c r="N1557" s="2034"/>
      <c r="O1557" s="2034"/>
      <c r="P1557" s="2034"/>
      <c r="Q1557" s="2897"/>
      <c r="R1557" s="2897"/>
      <c r="S1557" s="2897"/>
      <c r="T1557" s="2897"/>
      <c r="U1557" s="2897"/>
      <c r="V1557" s="2897"/>
      <c r="W1557" s="2897"/>
      <c r="X1557" s="2897"/>
      <c r="Y1557" s="2897"/>
      <c r="Z1557" s="2897"/>
      <c r="AA1557" s="2897"/>
      <c r="AB1557" s="2897"/>
      <c r="AC1557" s="2897"/>
      <c r="AD1557" s="2897"/>
      <c r="AE1557" s="2897"/>
      <c r="AF1557" s="2897"/>
    </row>
    <row r="1558" spans="1:32" ht="15">
      <c r="A1558" s="2027"/>
      <c r="B1558" s="2027"/>
      <c r="C1558" s="2027"/>
      <c r="D1558" s="2027"/>
      <c r="E1558" s="2027"/>
      <c r="F1558" s="2030"/>
      <c r="G1558" s="2030"/>
      <c r="H1558" s="2466"/>
      <c r="I1558" s="2466"/>
      <c r="J1558" s="2027"/>
      <c r="K1558" s="2027"/>
      <c r="L1558" s="2027"/>
      <c r="M1558" s="2027"/>
      <c r="N1558" s="2466"/>
      <c r="O1558" s="2466"/>
      <c r="P1558" s="2026"/>
      <c r="Q1558" s="2897"/>
      <c r="R1558" s="2897"/>
      <c r="S1558" s="2897"/>
      <c r="T1558" s="2897"/>
      <c r="U1558" s="2897"/>
      <c r="V1558" s="2897"/>
      <c r="W1558" s="2897"/>
      <c r="X1558" s="2897"/>
      <c r="Y1558" s="2897"/>
      <c r="Z1558" s="2897"/>
      <c r="AA1558" s="2897"/>
      <c r="AB1558" s="2897"/>
      <c r="AC1558" s="2897"/>
      <c r="AD1558" s="2897"/>
      <c r="AE1558" s="2897"/>
      <c r="AF1558" s="2897"/>
    </row>
    <row r="1559" spans="1:32" ht="14.45" customHeight="1">
      <c r="A1559" s="2806" t="s">
        <v>5128</v>
      </c>
      <c r="B1559" s="2806"/>
      <c r="C1559" s="2806"/>
      <c r="D1559" s="2806"/>
      <c r="E1559" s="2806"/>
      <c r="F1559" s="2806"/>
      <c r="G1559" s="2806"/>
      <c r="H1559" s="2806"/>
      <c r="I1559" s="2806"/>
      <c r="J1559" s="2806"/>
      <c r="K1559" s="2806"/>
      <c r="L1559" s="2806"/>
      <c r="M1559" s="2806"/>
      <c r="N1559" s="2806"/>
      <c r="O1559" s="2806"/>
      <c r="P1559" s="2806"/>
      <c r="Q1559" s="2897"/>
      <c r="R1559" s="2897"/>
      <c r="S1559" s="2897"/>
      <c r="T1559" s="2897"/>
      <c r="U1559" s="2897"/>
      <c r="V1559" s="2897"/>
      <c r="W1559" s="2897"/>
      <c r="X1559" s="2897"/>
      <c r="Y1559" s="2897"/>
      <c r="Z1559" s="2897"/>
      <c r="AA1559" s="2897"/>
      <c r="AB1559" s="2897"/>
      <c r="AC1559" s="2897"/>
      <c r="AD1559" s="2897"/>
      <c r="AE1559" s="2897"/>
      <c r="AF1559" s="2897"/>
    </row>
    <row r="1560" spans="1:32" ht="14.25">
      <c r="A1560" s="2821">
        <f>'Part VIII Scoring Criteria'!A411</f>
        <v>0</v>
      </c>
      <c r="B1560" s="2821"/>
      <c r="C1560" s="2821"/>
      <c r="D1560" s="2821"/>
      <c r="E1560" s="2821"/>
      <c r="F1560" s="2821"/>
      <c r="G1560" s="2821"/>
      <c r="H1560" s="2821"/>
      <c r="I1560" s="2821"/>
      <c r="J1560" s="2821"/>
      <c r="K1560" s="2821"/>
      <c r="L1560" s="2821"/>
      <c r="M1560" s="2821"/>
      <c r="N1560" s="2821"/>
      <c r="O1560" s="2821"/>
      <c r="P1560" s="2821"/>
      <c r="Q1560" s="1997"/>
      <c r="R1560" s="1997"/>
      <c r="S1560" s="1997"/>
      <c r="T1560" s="1997"/>
      <c r="U1560" s="1997"/>
      <c r="V1560" s="1997"/>
      <c r="W1560" s="1997"/>
      <c r="X1560" s="1997"/>
      <c r="Y1560" s="1997"/>
      <c r="Z1560" s="2027"/>
      <c r="AA1560" s="2027"/>
      <c r="AB1560" s="2027"/>
      <c r="AC1560" s="2027"/>
      <c r="AD1560" s="2027"/>
      <c r="AE1560" s="2027"/>
      <c r="AF1560" s="2027"/>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topLeftCell="A16" zoomScale="60" zoomScaleNormal="100" workbookViewId="0">
      <selection activeCell="O29" sqref="O29:P29"/>
    </sheetView>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7" t="s">
        <v>2473</v>
      </c>
      <c r="B5" s="4017"/>
      <c r="C5" s="4017"/>
      <c r="D5" s="4017"/>
      <c r="E5" s="4017"/>
      <c r="F5" s="4017"/>
      <c r="G5" s="4017"/>
      <c r="H5" s="4017"/>
      <c r="I5" s="4017"/>
      <c r="J5" s="4017"/>
      <c r="K5" s="4017"/>
      <c r="L5" s="4017"/>
      <c r="M5" s="4017"/>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3" t="s">
        <v>1762</v>
      </c>
      <c r="B9" s="4013"/>
      <c r="C9" s="4013"/>
      <c r="D9" s="4013"/>
      <c r="E9" s="4013"/>
      <c r="F9" s="4013"/>
      <c r="G9" s="4013"/>
      <c r="H9" s="4013"/>
      <c r="I9" s="4013"/>
      <c r="J9" s="4013"/>
      <c r="K9" s="4013"/>
      <c r="L9" s="4013"/>
      <c r="M9" s="4013"/>
    </row>
    <row r="10" spans="1:26" ht="6.75" customHeight="1">
      <c r="A10" s="4013"/>
      <c r="B10" s="4013"/>
      <c r="C10" s="4013"/>
      <c r="D10" s="4013"/>
      <c r="E10" s="4013"/>
      <c r="F10" s="4013"/>
      <c r="G10" s="4013"/>
      <c r="H10" s="4013"/>
      <c r="I10" s="4013"/>
      <c r="J10" s="4013"/>
      <c r="K10" s="4013"/>
      <c r="L10" s="4013"/>
      <c r="M10" s="4013"/>
    </row>
    <row r="11" spans="1:26" ht="44.25" customHeight="1">
      <c r="A11" s="4018" t="s">
        <v>4947</v>
      </c>
      <c r="B11" s="4018"/>
      <c r="C11" s="4018"/>
      <c r="D11" s="4018"/>
      <c r="E11" s="4018"/>
      <c r="F11" s="4018"/>
      <c r="G11" s="4018"/>
      <c r="H11" s="4018"/>
      <c r="I11" s="4018"/>
      <c r="J11" s="4018"/>
      <c r="K11" s="4018"/>
      <c r="L11" s="4018"/>
      <c r="M11" s="4018"/>
    </row>
    <row r="12" spans="1:26" ht="3" customHeight="1">
      <c r="A12" s="4013"/>
      <c r="B12" s="4013"/>
      <c r="C12" s="4013"/>
      <c r="D12" s="4013"/>
      <c r="E12" s="4013"/>
      <c r="F12" s="4013"/>
      <c r="G12" s="4013"/>
      <c r="H12" s="4013"/>
      <c r="I12" s="4013"/>
      <c r="J12" s="4013"/>
      <c r="K12" s="4013"/>
      <c r="L12" s="4013"/>
      <c r="M12" s="4013"/>
    </row>
    <row r="13" spans="1:26" ht="101.25" customHeight="1">
      <c r="A13" s="802" t="s">
        <v>1611</v>
      </c>
      <c r="B13" s="4015" t="s">
        <v>3104</v>
      </c>
      <c r="C13" s="4015"/>
      <c r="D13" s="4015"/>
      <c r="E13" s="4015"/>
      <c r="F13" s="4015"/>
      <c r="G13" s="4015"/>
      <c r="H13" s="4015"/>
      <c r="I13" s="4015"/>
      <c r="J13" s="4015"/>
      <c r="K13" s="4015"/>
      <c r="L13" s="4015"/>
      <c r="M13" s="4015"/>
      <c r="U13" s="796" t="s">
        <v>4169</v>
      </c>
    </row>
    <row r="14" spans="1:26" ht="47.25" customHeight="1">
      <c r="A14" s="802" t="s">
        <v>1612</v>
      </c>
      <c r="B14" s="4015" t="s">
        <v>3105</v>
      </c>
      <c r="C14" s="4015"/>
      <c r="D14" s="4015"/>
      <c r="E14" s="4015"/>
      <c r="F14" s="4015"/>
      <c r="G14" s="4015"/>
      <c r="H14" s="4015"/>
      <c r="I14" s="4015"/>
      <c r="J14" s="4015"/>
      <c r="K14" s="4015"/>
      <c r="L14" s="4015"/>
      <c r="M14" s="4015"/>
    </row>
    <row r="15" spans="1:26" ht="117" customHeight="1">
      <c r="A15" s="802" t="s">
        <v>1613</v>
      </c>
      <c r="B15" s="4015" t="s">
        <v>3106</v>
      </c>
      <c r="C15" s="4015"/>
      <c r="D15" s="4015"/>
      <c r="E15" s="4015"/>
      <c r="F15" s="4015"/>
      <c r="G15" s="4015"/>
      <c r="H15" s="4015"/>
      <c r="I15" s="4015"/>
      <c r="J15" s="4015"/>
      <c r="K15" s="4015"/>
      <c r="L15" s="4015"/>
      <c r="M15" s="4015"/>
    </row>
    <row r="16" spans="1:26" ht="147" customHeight="1">
      <c r="A16" s="802" t="s">
        <v>2176</v>
      </c>
      <c r="B16" s="4015" t="s">
        <v>2985</v>
      </c>
      <c r="C16" s="4015"/>
      <c r="D16" s="4015"/>
      <c r="E16" s="4015"/>
      <c r="F16" s="4015"/>
      <c r="G16" s="4015"/>
      <c r="H16" s="4015"/>
      <c r="I16" s="4015"/>
      <c r="J16" s="4015"/>
      <c r="K16" s="4015"/>
      <c r="L16" s="4015"/>
      <c r="M16" s="4015"/>
    </row>
    <row r="17" spans="1:13" ht="48.75" customHeight="1">
      <c r="A17" s="802" t="s">
        <v>1446</v>
      </c>
      <c r="B17" s="4015" t="s">
        <v>636</v>
      </c>
      <c r="C17" s="4015"/>
      <c r="D17" s="4015"/>
      <c r="E17" s="4015"/>
      <c r="F17" s="4015"/>
      <c r="G17" s="4015"/>
      <c r="H17" s="4015"/>
      <c r="I17" s="4015"/>
      <c r="J17" s="4015"/>
      <c r="K17" s="4015"/>
      <c r="L17" s="4015"/>
      <c r="M17" s="4015"/>
    </row>
    <row r="18" spans="1:13" ht="165" customHeight="1">
      <c r="A18" s="802" t="s">
        <v>1447</v>
      </c>
      <c r="B18" s="4015" t="s">
        <v>2984</v>
      </c>
      <c r="C18" s="4015"/>
      <c r="D18" s="4015"/>
      <c r="E18" s="4015"/>
      <c r="F18" s="4015"/>
      <c r="G18" s="4015"/>
      <c r="H18" s="4015"/>
      <c r="I18" s="4015"/>
      <c r="J18" s="4015"/>
      <c r="K18" s="4015"/>
      <c r="L18" s="4015"/>
      <c r="M18" s="4015"/>
    </row>
    <row r="19" spans="1:13" ht="48.75" customHeight="1">
      <c r="A19" s="802" t="s">
        <v>93</v>
      </c>
      <c r="B19" s="4016" t="s">
        <v>3107</v>
      </c>
      <c r="C19" s="4016"/>
      <c r="D19" s="4016"/>
      <c r="E19" s="4016"/>
      <c r="F19" s="4016"/>
      <c r="G19" s="4016"/>
      <c r="H19" s="4016"/>
      <c r="I19" s="4016"/>
      <c r="J19" s="4016"/>
      <c r="K19" s="4016"/>
      <c r="L19" s="4016"/>
      <c r="M19" s="4016"/>
    </row>
    <row r="20" spans="1:13" ht="50.25" customHeight="1">
      <c r="A20" s="802" t="s">
        <v>480</v>
      </c>
      <c r="B20" s="4015" t="s">
        <v>2986</v>
      </c>
      <c r="C20" s="4015"/>
      <c r="D20" s="4015"/>
      <c r="E20" s="4015"/>
      <c r="F20" s="4015"/>
      <c r="G20" s="4015"/>
      <c r="H20" s="4015"/>
      <c r="I20" s="4015"/>
      <c r="J20" s="4015"/>
      <c r="K20" s="4015"/>
      <c r="L20" s="4015"/>
      <c r="M20" s="4015"/>
    </row>
    <row r="21" spans="1:13" ht="31.5" customHeight="1">
      <c r="A21" s="802" t="s">
        <v>481</v>
      </c>
      <c r="B21" s="4015" t="s">
        <v>3003</v>
      </c>
      <c r="C21" s="4015"/>
      <c r="D21" s="4015"/>
      <c r="E21" s="4015"/>
      <c r="F21" s="4015"/>
      <c r="G21" s="4015"/>
      <c r="H21" s="4015"/>
      <c r="I21" s="4015"/>
      <c r="J21" s="4015"/>
      <c r="K21" s="4015"/>
      <c r="L21" s="4015"/>
      <c r="M21" s="4015"/>
    </row>
    <row r="22" spans="1:13" ht="1.5" customHeight="1">
      <c r="A22" s="4013"/>
      <c r="B22" s="4013"/>
      <c r="C22" s="4013"/>
      <c r="D22" s="4013"/>
      <c r="E22" s="4013"/>
      <c r="F22" s="4013"/>
      <c r="G22" s="4013"/>
      <c r="H22" s="4013"/>
      <c r="I22" s="4013"/>
      <c r="J22" s="4013"/>
      <c r="K22" s="4013"/>
      <c r="L22" s="4013"/>
      <c r="M22" s="4013"/>
    </row>
    <row r="23" spans="1:13" ht="3" customHeight="1">
      <c r="A23" s="4013"/>
      <c r="B23" s="4013"/>
      <c r="C23" s="4013"/>
      <c r="D23" s="4013"/>
      <c r="E23" s="4013"/>
      <c r="F23" s="4013"/>
      <c r="G23" s="4013"/>
      <c r="H23" s="4013"/>
      <c r="I23" s="4013"/>
      <c r="J23" s="4013"/>
      <c r="K23" s="4013"/>
      <c r="L23" s="4013"/>
      <c r="M23" s="4013"/>
    </row>
    <row r="24" spans="1:13" ht="13.5" customHeight="1">
      <c r="A24" s="4013" t="s">
        <v>1372</v>
      </c>
      <c r="B24" s="4013"/>
      <c r="C24" s="4013"/>
      <c r="D24" s="4013"/>
      <c r="E24" s="4013"/>
      <c r="F24" s="4013"/>
      <c r="G24" s="4013"/>
      <c r="H24" s="4013"/>
      <c r="I24" s="4013"/>
      <c r="J24" s="4013"/>
      <c r="K24" s="4013"/>
      <c r="L24" s="4013"/>
      <c r="M24" s="4013"/>
    </row>
    <row r="25" spans="1:13" ht="32.25" customHeight="1">
      <c r="A25" s="802" t="s">
        <v>1373</v>
      </c>
      <c r="B25" s="4015" t="s">
        <v>3004</v>
      </c>
      <c r="C25" s="4015"/>
      <c r="D25" s="4015"/>
      <c r="E25" s="4015"/>
      <c r="F25" s="4015"/>
      <c r="G25" s="4015"/>
      <c r="H25" s="4015"/>
      <c r="I25" s="4015"/>
      <c r="J25" s="4015"/>
      <c r="K25" s="4015"/>
      <c r="L25" s="4015"/>
      <c r="M25" s="4015"/>
    </row>
    <row r="26" spans="1:13" ht="31.5" customHeight="1">
      <c r="A26" s="802" t="s">
        <v>1373</v>
      </c>
      <c r="B26" s="4015" t="s">
        <v>3005</v>
      </c>
      <c r="C26" s="4015"/>
      <c r="D26" s="4015"/>
      <c r="E26" s="4015"/>
      <c r="F26" s="4015"/>
      <c r="G26" s="4015"/>
      <c r="H26" s="4015"/>
      <c r="I26" s="4015"/>
      <c r="J26" s="4015"/>
      <c r="K26" s="4015"/>
      <c r="L26" s="4015"/>
      <c r="M26" s="4015"/>
    </row>
    <row r="27" spans="1:13" ht="78.75" customHeight="1">
      <c r="A27" s="802" t="s">
        <v>1373</v>
      </c>
      <c r="B27" s="4015" t="s">
        <v>2474</v>
      </c>
      <c r="C27" s="4015"/>
      <c r="D27" s="4015"/>
      <c r="E27" s="4015"/>
      <c r="F27" s="4015"/>
      <c r="G27" s="4015"/>
      <c r="H27" s="4015"/>
      <c r="I27" s="4015"/>
      <c r="J27" s="4015"/>
      <c r="K27" s="4015"/>
      <c r="L27" s="4015"/>
      <c r="M27" s="4015"/>
    </row>
    <row r="28" spans="1:13" ht="7.5" customHeight="1">
      <c r="A28" s="4013"/>
      <c r="B28" s="4013"/>
      <c r="C28" s="4013"/>
      <c r="D28" s="4013"/>
      <c r="E28" s="4013"/>
      <c r="F28" s="4013"/>
      <c r="G28" s="4013"/>
      <c r="H28" s="4013"/>
      <c r="I28" s="4013"/>
      <c r="J28" s="4013"/>
      <c r="K28" s="4013"/>
      <c r="L28" s="4013"/>
      <c r="M28" s="4013"/>
    </row>
    <row r="29" spans="1:13" ht="43.5" customHeight="1">
      <c r="A29" s="4015" t="s">
        <v>886</v>
      </c>
      <c r="B29" s="4015"/>
      <c r="C29" s="4015"/>
      <c r="D29" s="4015"/>
      <c r="E29" s="4015"/>
      <c r="F29" s="4015"/>
      <c r="G29" s="4015"/>
      <c r="H29" s="4015"/>
      <c r="I29" s="4015"/>
      <c r="J29" s="4015"/>
      <c r="K29" s="4015"/>
      <c r="L29" s="4015"/>
      <c r="M29" s="4015"/>
    </row>
    <row r="30" spans="1:13" ht="3" customHeight="1">
      <c r="A30" s="4013"/>
      <c r="B30" s="4013"/>
      <c r="C30" s="4013"/>
      <c r="D30" s="4013"/>
      <c r="E30" s="4013"/>
      <c r="F30" s="4013"/>
      <c r="G30" s="4013"/>
      <c r="H30" s="4013"/>
      <c r="I30" s="4013"/>
      <c r="J30" s="4013"/>
      <c r="K30" s="4013"/>
      <c r="L30" s="4013"/>
      <c r="M30" s="4013"/>
    </row>
    <row r="31" spans="1:13" ht="32.25" customHeight="1">
      <c r="A31" s="4015" t="s">
        <v>2475</v>
      </c>
      <c r="B31" s="4015"/>
      <c r="C31" s="4015"/>
      <c r="D31" s="4015"/>
      <c r="E31" s="4015"/>
      <c r="F31" s="4015"/>
      <c r="G31" s="4015"/>
      <c r="H31" s="4015"/>
      <c r="I31" s="4015"/>
      <c r="J31" s="4015"/>
      <c r="K31" s="4015"/>
      <c r="L31" s="4015"/>
      <c r="M31" s="4015"/>
    </row>
    <row r="32" spans="1:13" ht="4.5" customHeight="1">
      <c r="A32" s="4013"/>
      <c r="B32" s="4013"/>
      <c r="C32" s="4013"/>
      <c r="D32" s="4013"/>
      <c r="E32" s="4013"/>
      <c r="F32" s="4013"/>
      <c r="G32" s="4013"/>
      <c r="H32" s="4013"/>
      <c r="I32" s="4013"/>
      <c r="J32" s="4013"/>
      <c r="K32" s="4013"/>
      <c r="L32" s="4013"/>
      <c r="M32" s="4013"/>
    </row>
    <row r="33" spans="1:13" ht="16.5">
      <c r="A33" s="4013" t="s">
        <v>863</v>
      </c>
      <c r="B33" s="4013"/>
      <c r="C33" s="4013"/>
      <c r="D33" s="4013"/>
      <c r="E33" s="4013"/>
      <c r="F33" s="4013"/>
      <c r="G33" s="4013"/>
      <c r="H33" s="4013"/>
      <c r="I33" s="4013"/>
      <c r="J33" s="4013"/>
      <c r="K33" s="4013"/>
      <c r="L33" s="4013"/>
      <c r="M33" s="4013"/>
    </row>
    <row r="34" spans="1:13" ht="6" customHeight="1">
      <c r="A34" s="822"/>
      <c r="B34" s="822"/>
      <c r="C34" s="822"/>
      <c r="D34" s="822"/>
      <c r="E34" s="822"/>
      <c r="F34" s="822"/>
      <c r="G34" s="822"/>
      <c r="H34" s="822"/>
      <c r="I34" s="822"/>
      <c r="J34" s="822"/>
      <c r="K34" s="822"/>
      <c r="L34" s="822"/>
      <c r="M34" s="822"/>
    </row>
    <row r="35" spans="1:13" ht="16.5">
      <c r="A35" s="4014" t="s">
        <v>5134</v>
      </c>
      <c r="B35" s="4014"/>
      <c r="C35" s="4014"/>
      <c r="D35" s="4014"/>
      <c r="E35" s="4014"/>
      <c r="F35" s="4014"/>
      <c r="G35" s="800"/>
      <c r="H35" s="4014" t="s">
        <v>5177</v>
      </c>
      <c r="I35" s="4014"/>
      <c r="J35" s="4014"/>
      <c r="K35" s="4014"/>
      <c r="L35" s="4014"/>
      <c r="M35" s="4014"/>
    </row>
    <row r="36" spans="1:13" ht="12" customHeight="1">
      <c r="A36" s="4011" t="s">
        <v>864</v>
      </c>
      <c r="B36" s="4011"/>
      <c r="C36" s="4011"/>
      <c r="D36" s="4011"/>
      <c r="E36" s="4011"/>
      <c r="F36" s="4011"/>
      <c r="G36" s="800"/>
      <c r="H36" s="4011" t="s">
        <v>1834</v>
      </c>
      <c r="I36" s="4011"/>
      <c r="J36" s="4011"/>
      <c r="K36" s="4011"/>
      <c r="L36" s="4011"/>
      <c r="M36" s="4011"/>
    </row>
    <row r="37" spans="1:13" ht="6" customHeight="1">
      <c r="A37" s="800"/>
      <c r="B37" s="800"/>
      <c r="C37" s="800"/>
      <c r="D37" s="800"/>
      <c r="E37" s="800"/>
      <c r="F37" s="800"/>
      <c r="G37" s="800"/>
      <c r="H37" s="800"/>
      <c r="I37" s="800"/>
      <c r="J37" s="800"/>
      <c r="K37" s="800"/>
      <c r="L37" s="800"/>
      <c r="M37" s="800"/>
    </row>
    <row r="38" spans="1:13" ht="16.5">
      <c r="A38" s="4009"/>
      <c r="B38" s="4009"/>
      <c r="C38" s="4009"/>
      <c r="D38" s="4009"/>
      <c r="E38" s="4009"/>
      <c r="F38" s="4009"/>
      <c r="G38" s="800"/>
      <c r="H38" s="4010">
        <v>45418</v>
      </c>
      <c r="I38" s="4010"/>
      <c r="J38" s="4010"/>
      <c r="K38" s="4010"/>
      <c r="L38" s="4010"/>
      <c r="M38" s="4010"/>
    </row>
    <row r="39" spans="1:13" ht="12" customHeight="1">
      <c r="A39" s="4011" t="s">
        <v>865</v>
      </c>
      <c r="B39" s="4011"/>
      <c r="C39" s="4011"/>
      <c r="D39" s="4011"/>
      <c r="E39" s="4011"/>
      <c r="F39" s="4011"/>
      <c r="G39" s="800"/>
      <c r="H39" s="4011" t="s">
        <v>866</v>
      </c>
      <c r="I39" s="4011"/>
      <c r="J39" s="4011"/>
      <c r="K39" s="4011"/>
      <c r="L39" s="4011"/>
      <c r="M39" s="4011"/>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2" t="s">
        <v>867</v>
      </c>
      <c r="I41" s="4012"/>
      <c r="J41" s="4012"/>
      <c r="K41" s="4012"/>
      <c r="L41" s="4012"/>
      <c r="M41" s="4012"/>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25" right="0.25" top="0.75" bottom="0.5" header="0.3" footer="0.3"/>
  <pageSetup scale="89" fitToHeight="0" orientation="landscape"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dimension ref="A1:N79"/>
  <sheetViews>
    <sheetView showGridLines="0" view="pageBreakPreview" zoomScale="60" zoomScaleNormal="100" workbookViewId="0">
      <selection activeCell="O29" sqref="O29:P29"/>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5" t="str">
        <f>'Part I-Project Identification'!F26</f>
        <v>Redland Trace</v>
      </c>
      <c r="E3" s="4026"/>
      <c r="F3" s="4026"/>
      <c r="G3" s="4026"/>
      <c r="H3" s="4026"/>
      <c r="I3" s="4026"/>
      <c r="J3" s="4027" t="s">
        <v>4069</v>
      </c>
      <c r="K3" s="4028"/>
    </row>
    <row r="4" spans="1:11" ht="15" customHeight="1">
      <c r="A4" s="1269" t="s">
        <v>3841</v>
      </c>
      <c r="B4" s="1270"/>
      <c r="C4" s="1271"/>
      <c r="D4" s="4029"/>
      <c r="E4" s="4030"/>
      <c r="F4" s="4030"/>
      <c r="G4" s="4030"/>
      <c r="H4" s="4030"/>
      <c r="I4" s="4030"/>
      <c r="J4" s="4031" t="s">
        <v>3882</v>
      </c>
      <c r="K4" s="4032"/>
    </row>
    <row r="5" spans="1:11" ht="15" customHeight="1" thickBot="1">
      <c r="A5" s="1272" t="s">
        <v>3842</v>
      </c>
      <c r="B5" s="1273"/>
      <c r="C5" s="1274"/>
      <c r="D5" s="4035"/>
      <c r="E5" s="4036"/>
      <c r="F5" s="4036"/>
      <c r="G5" s="4036"/>
      <c r="H5" s="4036"/>
      <c r="I5" s="4036"/>
      <c r="J5" s="4033"/>
      <c r="K5" s="4034"/>
    </row>
    <row r="6" spans="1:11" ht="9" customHeight="1" thickBot="1">
      <c r="E6" s="1264"/>
    </row>
    <row r="7" spans="1:11">
      <c r="A7" s="4019" t="s">
        <v>3844</v>
      </c>
      <c r="B7" s="4020"/>
      <c r="C7" s="4020"/>
      <c r="D7" s="4020"/>
      <c r="E7" s="4020"/>
      <c r="F7" s="4020"/>
      <c r="G7" s="4020"/>
      <c r="H7" s="4020"/>
      <c r="I7" s="4020"/>
      <c r="J7" s="4020"/>
      <c r="K7" s="4021"/>
    </row>
    <row r="8" spans="1:11" ht="14.25" customHeight="1">
      <c r="A8" s="1270"/>
      <c r="B8" s="1270"/>
      <c r="C8" s="1481">
        <v>1</v>
      </c>
      <c r="D8" s="1289" t="s">
        <v>3845</v>
      </c>
      <c r="E8" s="1289"/>
      <c r="F8" s="1289"/>
      <c r="G8" s="1289"/>
      <c r="H8" s="1289"/>
      <c r="I8" s="1289"/>
      <c r="J8" s="4039"/>
      <c r="K8" s="4040"/>
    </row>
    <row r="9" spans="1:11" ht="7.15" customHeight="1">
      <c r="A9" s="4041"/>
      <c r="B9" s="4041"/>
      <c r="C9" s="4041"/>
      <c r="D9" s="4042"/>
      <c r="E9" s="4042"/>
      <c r="F9" s="4042"/>
      <c r="G9" s="4042"/>
      <c r="H9" s="4042"/>
      <c r="I9" s="4042"/>
      <c r="J9" s="4042"/>
      <c r="K9" s="1290"/>
    </row>
    <row r="10" spans="1:11">
      <c r="A10" s="4043" t="s">
        <v>3846</v>
      </c>
      <c r="B10" s="4044"/>
      <c r="C10" s="4044"/>
      <c r="D10" s="4044"/>
      <c r="E10" s="4044"/>
      <c r="F10" s="4044"/>
      <c r="G10" s="4044"/>
      <c r="H10" s="4044"/>
      <c r="I10" s="4044"/>
      <c r="J10" s="4044"/>
      <c r="K10" s="4045"/>
    </row>
    <row r="11" spans="1:11" ht="14.25" customHeight="1">
      <c r="A11" s="1270"/>
      <c r="B11" s="1270"/>
      <c r="C11" s="1481">
        <v>2</v>
      </c>
      <c r="D11" s="1289" t="s">
        <v>3847</v>
      </c>
      <c r="E11" s="1291"/>
      <c r="F11" s="1291"/>
      <c r="G11" s="1291"/>
      <c r="H11" s="1291"/>
      <c r="I11" s="1291"/>
      <c r="J11" s="4046"/>
      <c r="K11" s="4047"/>
    </row>
    <row r="12" spans="1:11" ht="7.15" customHeight="1">
      <c r="A12" s="4041"/>
      <c r="B12" s="4041"/>
      <c r="C12" s="4041"/>
      <c r="D12" s="4042"/>
      <c r="E12" s="4042"/>
      <c r="F12" s="4042"/>
      <c r="G12" s="4042"/>
      <c r="H12" s="4042"/>
      <c r="I12" s="4042"/>
      <c r="J12" s="4042"/>
      <c r="K12" s="1292"/>
    </row>
    <row r="13" spans="1:11">
      <c r="A13" s="4043" t="s">
        <v>3848</v>
      </c>
      <c r="B13" s="4044"/>
      <c r="C13" s="4044"/>
      <c r="D13" s="4044"/>
      <c r="E13" s="4044"/>
      <c r="F13" s="4044"/>
      <c r="G13" s="4044"/>
      <c r="H13" s="4044"/>
      <c r="I13" s="4044"/>
      <c r="J13" s="4044"/>
      <c r="K13" s="4045"/>
    </row>
    <row r="14" spans="1:11" ht="14.25" customHeight="1">
      <c r="A14" s="1270"/>
      <c r="B14" s="1270"/>
      <c r="C14" s="1482">
        <v>3</v>
      </c>
      <c r="D14" s="1293" t="s">
        <v>3849</v>
      </c>
      <c r="E14" s="1293"/>
      <c r="F14" s="1293"/>
      <c r="G14" s="1293"/>
      <c r="H14" s="1293"/>
      <c r="I14" s="1293"/>
      <c r="J14" s="4048"/>
      <c r="K14" s="4049"/>
    </row>
    <row r="15" spans="1:11" ht="14.25" customHeight="1">
      <c r="A15" s="1270"/>
      <c r="B15" s="1270"/>
      <c r="C15" s="1483">
        <v>4</v>
      </c>
      <c r="D15" s="1270" t="s">
        <v>3850</v>
      </c>
      <c r="E15" s="1270"/>
      <c r="F15" s="1270"/>
      <c r="G15" s="1270"/>
      <c r="H15" s="1270"/>
      <c r="I15" s="1270"/>
      <c r="J15" s="4050"/>
      <c r="K15" s="4051"/>
    </row>
    <row r="16" spans="1:11" ht="14.25" customHeight="1">
      <c r="A16" s="1270"/>
      <c r="B16" s="1270"/>
      <c r="C16" s="1483">
        <v>5</v>
      </c>
      <c r="D16" s="1270" t="s">
        <v>3851</v>
      </c>
      <c r="E16" s="1270"/>
      <c r="F16" s="1270"/>
      <c r="G16" s="1270"/>
      <c r="H16" s="1270"/>
      <c r="I16" s="1270"/>
      <c r="J16" s="4050"/>
      <c r="K16" s="4051"/>
    </row>
    <row r="17" spans="1:13" ht="14.25" customHeight="1">
      <c r="A17" s="1270"/>
      <c r="B17" s="1270"/>
      <c r="C17" s="1484">
        <v>6</v>
      </c>
      <c r="D17" s="1273" t="s">
        <v>3852</v>
      </c>
      <c r="E17" s="1273"/>
      <c r="F17" s="1273"/>
      <c r="G17" s="1273"/>
      <c r="H17" s="1273"/>
      <c r="I17" s="1273"/>
      <c r="J17" s="4052"/>
      <c r="K17" s="4053"/>
    </row>
    <row r="18" spans="1:13" ht="7.15" customHeight="1">
      <c r="A18" s="4041"/>
      <c r="B18" s="4041"/>
      <c r="C18" s="4041"/>
      <c r="D18" s="4042"/>
      <c r="E18" s="4042"/>
      <c r="F18" s="4042"/>
      <c r="G18" s="4042"/>
      <c r="H18" s="4042"/>
      <c r="I18" s="4042"/>
      <c r="J18" s="4042"/>
      <c r="K18" s="1292"/>
    </row>
    <row r="19" spans="1:13" ht="14.25" customHeight="1">
      <c r="A19" s="1270"/>
      <c r="B19" s="1270"/>
      <c r="C19" s="1482">
        <v>7</v>
      </c>
      <c r="D19" s="1293" t="s">
        <v>3853</v>
      </c>
      <c r="E19" s="1293"/>
      <c r="F19" s="1293"/>
      <c r="G19" s="1293"/>
      <c r="H19" s="1293"/>
      <c r="I19" s="1293"/>
      <c r="J19" s="4037" t="str">
        <f>IF(J17="No",J14-J15,IF(J17="Yes",J14-J15-J16,"Error"))</f>
        <v>Error</v>
      </c>
      <c r="K19" s="4038"/>
    </row>
    <row r="20" spans="1:13" ht="14.25" customHeight="1">
      <c r="A20" s="1270"/>
      <c r="B20" s="1270"/>
      <c r="C20" s="1484">
        <v>8</v>
      </c>
      <c r="D20" s="1273" t="s">
        <v>3854</v>
      </c>
      <c r="E20" s="1273"/>
      <c r="F20" s="1273"/>
      <c r="G20" s="1273"/>
      <c r="H20" s="1273"/>
      <c r="I20" s="1273"/>
      <c r="J20" s="4054" t="e">
        <f>ROUNDDOWN(J19/J8,2)</f>
        <v>#VALUE!</v>
      </c>
      <c r="K20" s="4055"/>
    </row>
    <row r="21" spans="1:13" ht="7.15" customHeight="1">
      <c r="A21" s="4041"/>
      <c r="B21" s="4041"/>
      <c r="C21" s="4041"/>
      <c r="D21" s="4042"/>
      <c r="E21" s="4042"/>
      <c r="F21" s="4042"/>
      <c r="G21" s="4042"/>
      <c r="H21" s="4042"/>
      <c r="I21" s="4042"/>
      <c r="J21" s="4042"/>
      <c r="K21" s="1292"/>
    </row>
    <row r="22" spans="1:13" ht="14.25" customHeight="1" thickBot="1">
      <c r="A22" s="1270"/>
      <c r="B22" s="1270"/>
      <c r="C22" s="1481">
        <v>9</v>
      </c>
      <c r="D22" s="1294" t="s">
        <v>3855</v>
      </c>
      <c r="E22" s="1294"/>
      <c r="F22" s="1294"/>
      <c r="G22" s="1294"/>
      <c r="H22" s="1294"/>
      <c r="I22" s="1294"/>
      <c r="J22" s="4056" t="e">
        <f>J11/J19</f>
        <v>#VALUE!</v>
      </c>
      <c r="K22" s="4057"/>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8" t="s">
        <v>3886</v>
      </c>
      <c r="B30" s="4059"/>
      <c r="C30" s="4059"/>
      <c r="D30" s="4059"/>
      <c r="E30" s="4059"/>
      <c r="F30" s="4059"/>
      <c r="G30" s="4059"/>
      <c r="H30" s="4059"/>
      <c r="I30" s="4059"/>
      <c r="J30" s="4059"/>
      <c r="K30" s="4060"/>
    </row>
    <row r="31" spans="1:13">
      <c r="B31" s="4061" t="s">
        <v>4069</v>
      </c>
      <c r="C31" s="4061"/>
      <c r="D31" s="4061"/>
      <c r="E31" s="4061"/>
      <c r="F31" s="4061"/>
      <c r="G31" s="4062" t="s">
        <v>3857</v>
      </c>
      <c r="H31" s="4063"/>
      <c r="I31" s="4063"/>
      <c r="J31" s="4063"/>
      <c r="K31" s="4064"/>
    </row>
    <row r="32" spans="1:13" ht="56.25" customHeight="1">
      <c r="A32" s="1288"/>
      <c r="B32" s="1306" t="s">
        <v>3885</v>
      </c>
      <c r="C32" s="1307" t="s">
        <v>3881</v>
      </c>
      <c r="D32" s="1307" t="s">
        <v>3880</v>
      </c>
      <c r="E32" s="4065" t="s">
        <v>4001</v>
      </c>
      <c r="F32" s="4066"/>
      <c r="G32" s="1308" t="s">
        <v>3858</v>
      </c>
      <c r="H32" s="1308" t="s">
        <v>3859</v>
      </c>
      <c r="J32" s="1308" t="s">
        <v>3860</v>
      </c>
      <c r="K32" s="1308" t="s">
        <v>3861</v>
      </c>
      <c r="L32" s="4067" t="s">
        <v>3862</v>
      </c>
      <c r="M32" s="4067"/>
    </row>
    <row r="33" spans="2:14" ht="12.75" customHeight="1">
      <c r="B33" s="1472"/>
      <c r="C33" s="1473"/>
      <c r="D33" s="1474"/>
      <c r="E33" s="4068"/>
      <c r="F33" s="4069"/>
      <c r="G33" s="1324" t="e">
        <f t="shared" ref="G33:G51" si="0">$J$22*B33</f>
        <v>#VALUE!</v>
      </c>
      <c r="H33" s="1325" t="e">
        <f>ROUNDUP(G33,0)</f>
        <v>#VALUE!</v>
      </c>
      <c r="I33" s="1326"/>
      <c r="J33" s="1327" t="e">
        <f t="shared" ref="J33:J51" si="1">$J$20*E33</f>
        <v>#VALUE!</v>
      </c>
      <c r="K33" s="1327" t="e">
        <f t="shared" ref="K33:K51" si="2">ROUNDDOWN(J33*H33,0)</f>
        <v>#VALUE!</v>
      </c>
      <c r="L33" s="4067"/>
      <c r="M33" s="4067"/>
    </row>
    <row r="34" spans="2:14" ht="12.75" customHeight="1">
      <c r="B34" s="1475"/>
      <c r="C34" s="1476"/>
      <c r="D34" s="1477"/>
      <c r="E34" s="4070"/>
      <c r="F34" s="4071"/>
      <c r="G34" s="1328" t="e">
        <f t="shared" si="0"/>
        <v>#VALUE!</v>
      </c>
      <c r="H34" s="1329" t="e">
        <f t="shared" ref="H34:H51" si="3">ROUNDUP(G34,0)</f>
        <v>#VALUE!</v>
      </c>
      <c r="I34" s="1326"/>
      <c r="J34" s="1330" t="e">
        <f t="shared" si="1"/>
        <v>#VALUE!</v>
      </c>
      <c r="K34" s="1330" t="e">
        <f t="shared" si="2"/>
        <v>#VALUE!</v>
      </c>
      <c r="L34" s="4067"/>
      <c r="M34" s="4067"/>
    </row>
    <row r="35" spans="2:14" ht="12.75" customHeight="1">
      <c r="B35" s="1475"/>
      <c r="C35" s="1476"/>
      <c r="D35" s="1477"/>
      <c r="E35" s="4070"/>
      <c r="F35" s="4071"/>
      <c r="G35" s="1328" t="e">
        <f t="shared" si="0"/>
        <v>#VALUE!</v>
      </c>
      <c r="H35" s="1329" t="e">
        <f t="shared" si="3"/>
        <v>#VALUE!</v>
      </c>
      <c r="I35" s="1326"/>
      <c r="J35" s="1330" t="e">
        <f t="shared" si="1"/>
        <v>#VALUE!</v>
      </c>
      <c r="K35" s="1330" t="e">
        <f t="shared" si="2"/>
        <v>#VALUE!</v>
      </c>
      <c r="L35" s="4067"/>
      <c r="M35" s="4067"/>
    </row>
    <row r="36" spans="2:14" ht="12.75" customHeight="1">
      <c r="B36" s="1475"/>
      <c r="C36" s="1476"/>
      <c r="D36" s="1477"/>
      <c r="E36" s="4070"/>
      <c r="F36" s="4071"/>
      <c r="G36" s="1328" t="e">
        <f t="shared" si="0"/>
        <v>#VALUE!</v>
      </c>
      <c r="H36" s="1329" t="e">
        <f t="shared" si="3"/>
        <v>#VALUE!</v>
      </c>
      <c r="I36" s="1326"/>
      <c r="J36" s="1330" t="e">
        <f t="shared" si="1"/>
        <v>#VALUE!</v>
      </c>
      <c r="K36" s="1330" t="e">
        <f t="shared" si="2"/>
        <v>#VALUE!</v>
      </c>
      <c r="L36" s="4067"/>
      <c r="M36" s="4067"/>
      <c r="N36" s="1283"/>
    </row>
    <row r="37" spans="2:14" ht="12.75" customHeight="1">
      <c r="B37" s="1475"/>
      <c r="C37" s="1476"/>
      <c r="D37" s="1477"/>
      <c r="E37" s="4070"/>
      <c r="F37" s="4071"/>
      <c r="G37" s="1328" t="e">
        <f t="shared" si="0"/>
        <v>#VALUE!</v>
      </c>
      <c r="H37" s="1329" t="e">
        <f t="shared" si="3"/>
        <v>#VALUE!</v>
      </c>
      <c r="I37" s="1326"/>
      <c r="J37" s="1330" t="e">
        <f t="shared" si="1"/>
        <v>#VALUE!</v>
      </c>
      <c r="K37" s="1330" t="e">
        <f t="shared" si="2"/>
        <v>#VALUE!</v>
      </c>
      <c r="L37" s="4067"/>
      <c r="M37" s="4067"/>
    </row>
    <row r="38" spans="2:14" ht="12.75" customHeight="1">
      <c r="B38" s="1475"/>
      <c r="C38" s="1476"/>
      <c r="D38" s="1477"/>
      <c r="E38" s="4070"/>
      <c r="F38" s="4071"/>
      <c r="G38" s="1328" t="e">
        <f t="shared" si="0"/>
        <v>#VALUE!</v>
      </c>
      <c r="H38" s="1329" t="e">
        <f t="shared" si="3"/>
        <v>#VALUE!</v>
      </c>
      <c r="I38" s="1326"/>
      <c r="J38" s="1330" t="e">
        <f t="shared" si="1"/>
        <v>#VALUE!</v>
      </c>
      <c r="K38" s="1330" t="e">
        <f t="shared" si="2"/>
        <v>#VALUE!</v>
      </c>
      <c r="L38" s="4067"/>
      <c r="M38" s="4067"/>
    </row>
    <row r="39" spans="2:14" ht="12.75" customHeight="1">
      <c r="B39" s="1475"/>
      <c r="C39" s="1476"/>
      <c r="D39" s="1477"/>
      <c r="E39" s="4070"/>
      <c r="F39" s="4071"/>
      <c r="G39" s="1328" t="e">
        <f t="shared" si="0"/>
        <v>#VALUE!</v>
      </c>
      <c r="H39" s="1329" t="e">
        <f t="shared" si="3"/>
        <v>#VALUE!</v>
      </c>
      <c r="I39" s="1326"/>
      <c r="J39" s="1330" t="e">
        <f t="shared" si="1"/>
        <v>#VALUE!</v>
      </c>
      <c r="K39" s="1330" t="e">
        <f t="shared" si="2"/>
        <v>#VALUE!</v>
      </c>
      <c r="L39" s="4067"/>
      <c r="M39" s="4067"/>
    </row>
    <row r="40" spans="2:14" ht="12.75" customHeight="1">
      <c r="B40" s="1475"/>
      <c r="C40" s="1476"/>
      <c r="D40" s="1477"/>
      <c r="E40" s="4070"/>
      <c r="F40" s="4071"/>
      <c r="G40" s="1328" t="e">
        <f t="shared" si="0"/>
        <v>#VALUE!</v>
      </c>
      <c r="H40" s="1329" t="e">
        <f t="shared" si="3"/>
        <v>#VALUE!</v>
      </c>
      <c r="I40" s="1326"/>
      <c r="J40" s="1330" t="e">
        <f t="shared" si="1"/>
        <v>#VALUE!</v>
      </c>
      <c r="K40" s="1330" t="e">
        <f t="shared" si="2"/>
        <v>#VALUE!</v>
      </c>
      <c r="L40" s="4067"/>
      <c r="M40" s="4067"/>
    </row>
    <row r="41" spans="2:14" ht="12.75" customHeight="1">
      <c r="B41" s="1475"/>
      <c r="C41" s="1476"/>
      <c r="D41" s="1477"/>
      <c r="E41" s="4070"/>
      <c r="F41" s="4071"/>
      <c r="G41" s="1328" t="e">
        <f t="shared" si="0"/>
        <v>#VALUE!</v>
      </c>
      <c r="H41" s="1329" t="e">
        <f t="shared" si="3"/>
        <v>#VALUE!</v>
      </c>
      <c r="I41" s="1326"/>
      <c r="J41" s="1330" t="e">
        <f t="shared" si="1"/>
        <v>#VALUE!</v>
      </c>
      <c r="K41" s="1330" t="e">
        <f t="shared" si="2"/>
        <v>#VALUE!</v>
      </c>
      <c r="L41" s="4067"/>
      <c r="M41" s="4067"/>
    </row>
    <row r="42" spans="2:14" ht="12.75" customHeight="1">
      <c r="B42" s="1475"/>
      <c r="C42" s="1476"/>
      <c r="D42" s="1477"/>
      <c r="E42" s="4070"/>
      <c r="F42" s="4071"/>
      <c r="G42" s="1328" t="e">
        <f t="shared" si="0"/>
        <v>#VALUE!</v>
      </c>
      <c r="H42" s="1329" t="e">
        <f t="shared" si="3"/>
        <v>#VALUE!</v>
      </c>
      <c r="I42" s="1326"/>
      <c r="J42" s="1330" t="e">
        <f t="shared" si="1"/>
        <v>#VALUE!</v>
      </c>
      <c r="K42" s="1330" t="e">
        <f t="shared" si="2"/>
        <v>#VALUE!</v>
      </c>
      <c r="L42" s="4067"/>
      <c r="M42" s="4067"/>
    </row>
    <row r="43" spans="2:14" ht="12.75" customHeight="1">
      <c r="B43" s="1475"/>
      <c r="C43" s="1476"/>
      <c r="D43" s="1477"/>
      <c r="E43" s="4070"/>
      <c r="F43" s="4071"/>
      <c r="G43" s="1328" t="e">
        <f t="shared" si="0"/>
        <v>#VALUE!</v>
      </c>
      <c r="H43" s="1329" t="e">
        <f t="shared" si="3"/>
        <v>#VALUE!</v>
      </c>
      <c r="I43" s="1326"/>
      <c r="J43" s="1330" t="e">
        <f t="shared" si="1"/>
        <v>#VALUE!</v>
      </c>
      <c r="K43" s="1330" t="e">
        <f t="shared" si="2"/>
        <v>#VALUE!</v>
      </c>
      <c r="L43" s="4067"/>
      <c r="M43" s="4067"/>
    </row>
    <row r="44" spans="2:14" ht="12.75" customHeight="1">
      <c r="B44" s="1475"/>
      <c r="C44" s="1476"/>
      <c r="D44" s="1477"/>
      <c r="E44" s="4070"/>
      <c r="F44" s="4071"/>
      <c r="G44" s="1328" t="e">
        <f t="shared" si="0"/>
        <v>#VALUE!</v>
      </c>
      <c r="H44" s="1329" t="e">
        <f t="shared" si="3"/>
        <v>#VALUE!</v>
      </c>
      <c r="I44" s="1326"/>
      <c r="J44" s="1330" t="e">
        <f t="shared" si="1"/>
        <v>#VALUE!</v>
      </c>
      <c r="K44" s="1330" t="e">
        <f t="shared" si="2"/>
        <v>#VALUE!</v>
      </c>
      <c r="L44" s="4067"/>
      <c r="M44" s="4067"/>
    </row>
    <row r="45" spans="2:14" ht="12.75" customHeight="1">
      <c r="B45" s="1475"/>
      <c r="C45" s="1476"/>
      <c r="D45" s="1477"/>
      <c r="E45" s="4070"/>
      <c r="F45" s="4071"/>
      <c r="G45" s="1328" t="e">
        <f t="shared" si="0"/>
        <v>#VALUE!</v>
      </c>
      <c r="H45" s="1329" t="e">
        <f t="shared" si="3"/>
        <v>#VALUE!</v>
      </c>
      <c r="I45" s="1326"/>
      <c r="J45" s="1330" t="e">
        <f t="shared" si="1"/>
        <v>#VALUE!</v>
      </c>
      <c r="K45" s="1330" t="e">
        <f t="shared" si="2"/>
        <v>#VALUE!</v>
      </c>
      <c r="L45" s="4067"/>
      <c r="M45" s="4067"/>
    </row>
    <row r="46" spans="2:14" ht="12.75" customHeight="1">
      <c r="B46" s="1475"/>
      <c r="C46" s="1476"/>
      <c r="D46" s="1477"/>
      <c r="E46" s="4070"/>
      <c r="F46" s="4071"/>
      <c r="G46" s="1328" t="e">
        <f t="shared" si="0"/>
        <v>#VALUE!</v>
      </c>
      <c r="H46" s="1329" t="e">
        <f t="shared" si="3"/>
        <v>#VALUE!</v>
      </c>
      <c r="I46" s="1326"/>
      <c r="J46" s="1330" t="e">
        <f t="shared" si="1"/>
        <v>#VALUE!</v>
      </c>
      <c r="K46" s="1330" t="e">
        <f t="shared" si="2"/>
        <v>#VALUE!</v>
      </c>
      <c r="L46" s="4067"/>
      <c r="M46" s="4067"/>
    </row>
    <row r="47" spans="2:14" ht="12.75" customHeight="1">
      <c r="B47" s="1475"/>
      <c r="C47" s="1476"/>
      <c r="D47" s="1477"/>
      <c r="E47" s="4070"/>
      <c r="F47" s="4071"/>
      <c r="G47" s="1328" t="e">
        <f t="shared" si="0"/>
        <v>#VALUE!</v>
      </c>
      <c r="H47" s="1329" t="e">
        <f t="shared" si="3"/>
        <v>#VALUE!</v>
      </c>
      <c r="I47" s="1326"/>
      <c r="J47" s="1330" t="e">
        <f t="shared" si="1"/>
        <v>#VALUE!</v>
      </c>
      <c r="K47" s="1330" t="e">
        <f t="shared" si="2"/>
        <v>#VALUE!</v>
      </c>
      <c r="L47" s="4067"/>
      <c r="M47" s="4067"/>
    </row>
    <row r="48" spans="2:14" ht="12.75" customHeight="1">
      <c r="B48" s="1475"/>
      <c r="C48" s="1476"/>
      <c r="D48" s="1477"/>
      <c r="E48" s="4070"/>
      <c r="F48" s="4071"/>
      <c r="G48" s="1328" t="e">
        <f t="shared" si="0"/>
        <v>#VALUE!</v>
      </c>
      <c r="H48" s="1329" t="e">
        <f t="shared" si="3"/>
        <v>#VALUE!</v>
      </c>
      <c r="I48" s="1326"/>
      <c r="J48" s="1330" t="e">
        <f t="shared" si="1"/>
        <v>#VALUE!</v>
      </c>
      <c r="K48" s="1330" t="e">
        <f t="shared" si="2"/>
        <v>#VALUE!</v>
      </c>
      <c r="L48" s="4067"/>
      <c r="M48" s="4067"/>
    </row>
    <row r="49" spans="1:13" ht="12.75" customHeight="1">
      <c r="B49" s="1475"/>
      <c r="C49" s="1476"/>
      <c r="D49" s="1477"/>
      <c r="E49" s="4070"/>
      <c r="F49" s="4071"/>
      <c r="G49" s="1328" t="e">
        <f t="shared" si="0"/>
        <v>#VALUE!</v>
      </c>
      <c r="H49" s="1329" t="e">
        <f t="shared" si="3"/>
        <v>#VALUE!</v>
      </c>
      <c r="I49" s="1326"/>
      <c r="J49" s="1330" t="e">
        <f t="shared" si="1"/>
        <v>#VALUE!</v>
      </c>
      <c r="K49" s="1330" t="e">
        <f t="shared" si="2"/>
        <v>#VALUE!</v>
      </c>
      <c r="L49" s="4067"/>
      <c r="M49" s="4067"/>
    </row>
    <row r="50" spans="1:13" ht="12.75" customHeight="1">
      <c r="B50" s="1475"/>
      <c r="C50" s="1476"/>
      <c r="D50" s="1477"/>
      <c r="E50" s="4070"/>
      <c r="F50" s="4071"/>
      <c r="G50" s="1328" t="e">
        <f t="shared" si="0"/>
        <v>#VALUE!</v>
      </c>
      <c r="H50" s="1329" t="e">
        <f t="shared" si="3"/>
        <v>#VALUE!</v>
      </c>
      <c r="I50" s="1326"/>
      <c r="J50" s="1330" t="e">
        <f t="shared" si="1"/>
        <v>#VALUE!</v>
      </c>
      <c r="K50" s="1330" t="e">
        <f t="shared" si="2"/>
        <v>#VALUE!</v>
      </c>
      <c r="L50" s="4067"/>
      <c r="M50" s="4067"/>
    </row>
    <row r="51" spans="1:13" ht="12.75" customHeight="1" thickBot="1">
      <c r="B51" s="1478"/>
      <c r="C51" s="1479"/>
      <c r="D51" s="1480"/>
      <c r="E51" s="4074"/>
      <c r="F51" s="4075"/>
      <c r="G51" s="1331" t="e">
        <f t="shared" si="0"/>
        <v>#VALUE!</v>
      </c>
      <c r="H51" s="1332" t="e">
        <f t="shared" si="3"/>
        <v>#VALUE!</v>
      </c>
      <c r="I51" s="1326"/>
      <c r="J51" s="1333" t="e">
        <f t="shared" si="1"/>
        <v>#VALUE!</v>
      </c>
      <c r="K51" s="1333" t="e">
        <f t="shared" si="2"/>
        <v>#VALUE!</v>
      </c>
      <c r="L51" s="4067"/>
      <c r="M51" s="4067"/>
    </row>
    <row r="52" spans="1:13" ht="15" customHeight="1" thickBot="1">
      <c r="B52" s="1299"/>
      <c r="D52" s="1293"/>
      <c r="E52" s="1293"/>
      <c r="F52" s="1293"/>
      <c r="G52" s="1310" t="s">
        <v>3863</v>
      </c>
      <c r="H52" s="1309" t="e">
        <f>SUM(H33:H51)</f>
        <v>#VALUE!</v>
      </c>
      <c r="I52" s="1293"/>
      <c r="J52" s="1299" t="s">
        <v>3864</v>
      </c>
      <c r="K52" s="1295" t="e">
        <f>SUM(K33:K51)</f>
        <v>#VALUE!</v>
      </c>
      <c r="L52" s="4067"/>
      <c r="M52" s="4067"/>
    </row>
    <row r="53" spans="1:13" ht="15" customHeight="1">
      <c r="B53" s="1300"/>
      <c r="C53" s="4072" t="s">
        <v>3865</v>
      </c>
      <c r="D53" s="4072"/>
      <c r="E53" s="4072"/>
      <c r="F53" s="4072"/>
      <c r="G53" s="4072"/>
      <c r="H53" s="4072"/>
      <c r="I53" s="4072"/>
      <c r="J53" s="4073"/>
      <c r="K53" s="1301" t="str">
        <f>IF(J17="no",0,IF(J17="yes",J16,"Error"))</f>
        <v>Error</v>
      </c>
      <c r="L53" s="4067"/>
      <c r="M53" s="4067"/>
    </row>
    <row r="54" spans="1:13" ht="15" customHeight="1" thickBot="1">
      <c r="B54" s="1300"/>
      <c r="C54" s="4076" t="s">
        <v>3866</v>
      </c>
      <c r="D54" s="4076"/>
      <c r="E54" s="4076"/>
      <c r="F54" s="4076"/>
      <c r="G54" s="4076"/>
      <c r="H54" s="4076"/>
      <c r="I54" s="4076"/>
      <c r="J54" s="4077"/>
      <c r="K54" s="1312" t="e">
        <f>K52+K53</f>
        <v>#VALUE!</v>
      </c>
    </row>
    <row r="55" spans="1:13" ht="7.9" customHeight="1">
      <c r="A55" s="4078"/>
      <c r="B55" s="4079"/>
      <c r="C55" s="4079"/>
      <c r="D55" s="4079"/>
      <c r="E55" s="4079"/>
      <c r="F55" s="4079"/>
      <c r="G55" s="4079"/>
      <c r="H55" s="4079"/>
      <c r="I55" s="4079"/>
      <c r="J55" s="4079"/>
      <c r="K55" s="1323"/>
    </row>
    <row r="56" spans="1:13" ht="15" customHeight="1">
      <c r="A56" s="4080" t="s">
        <v>3867</v>
      </c>
      <c r="B56" s="4081"/>
      <c r="C56" s="4081"/>
      <c r="D56" s="4081"/>
      <c r="E56" s="4081"/>
      <c r="F56" s="4081"/>
      <c r="G56" s="4081"/>
      <c r="H56" s="4081"/>
      <c r="I56" s="4081"/>
      <c r="J56" s="4081"/>
      <c r="K56" s="4082"/>
    </row>
    <row r="57" spans="1:13" ht="48" customHeight="1">
      <c r="A57" s="1285"/>
      <c r="B57" s="1276"/>
      <c r="C57" s="1287" t="s">
        <v>3868</v>
      </c>
      <c r="D57" s="1398" t="s">
        <v>3966</v>
      </c>
      <c r="E57" s="4083" t="s">
        <v>3884</v>
      </c>
      <c r="F57" s="4084"/>
      <c r="G57" s="4085" t="s">
        <v>3869</v>
      </c>
      <c r="H57" s="4086"/>
      <c r="I57" s="4083" t="s">
        <v>3883</v>
      </c>
      <c r="J57" s="4084"/>
      <c r="K57" s="4087"/>
      <c r="L57" s="4022" t="s">
        <v>5025</v>
      </c>
      <c r="M57" s="4023"/>
    </row>
    <row r="58" spans="1:13" ht="15" customHeight="1">
      <c r="A58" s="1388"/>
      <c r="B58" s="1318"/>
      <c r="C58" s="1296">
        <f>SUMIF(C33:C51, "0", H33:H51)</f>
        <v>0</v>
      </c>
      <c r="D58" s="1399">
        <f t="shared" ref="D58:D63" si="4">ROUNDUP(C58*1.1,0)</f>
        <v>0</v>
      </c>
      <c r="E58" s="4089" t="s">
        <v>3870</v>
      </c>
      <c r="F58" s="4090"/>
      <c r="G58" s="4091" t="e">
        <f>#REF!</f>
        <v>#REF!</v>
      </c>
      <c r="H58" s="4092"/>
      <c r="I58" s="4093" t="e">
        <f t="shared" ref="I58:I63" si="5">D58*G58</f>
        <v>#REF!</v>
      </c>
      <c r="J58" s="4093"/>
      <c r="K58" s="4088"/>
      <c r="L58" s="4024"/>
      <c r="M58" s="4023"/>
    </row>
    <row r="59" spans="1:13">
      <c r="A59" s="1388"/>
      <c r="B59" s="1318"/>
      <c r="C59" s="1297">
        <f>SUMIF(C33:C51, "1", H33:H51)</f>
        <v>0</v>
      </c>
      <c r="D59" s="1400">
        <f t="shared" si="4"/>
        <v>0</v>
      </c>
      <c r="E59" s="4094" t="s">
        <v>2455</v>
      </c>
      <c r="F59" s="4095"/>
      <c r="G59" s="4091" t="e">
        <f>#REF!</f>
        <v>#REF!</v>
      </c>
      <c r="H59" s="4092"/>
      <c r="I59" s="4096" t="e">
        <f t="shared" si="5"/>
        <v>#REF!</v>
      </c>
      <c r="J59" s="4096"/>
      <c r="K59" s="4088"/>
      <c r="L59" s="4024"/>
      <c r="M59" s="4023"/>
    </row>
    <row r="60" spans="1:13" ht="15" customHeight="1">
      <c r="A60" s="1388"/>
      <c r="B60" s="1318"/>
      <c r="C60" s="1297">
        <f>SUMIF(C33:C51, "2", H33:H51)</f>
        <v>0</v>
      </c>
      <c r="D60" s="1400">
        <f t="shared" si="4"/>
        <v>0</v>
      </c>
      <c r="E60" s="4094" t="s">
        <v>2456</v>
      </c>
      <c r="F60" s="4095"/>
      <c r="G60" s="4091" t="e">
        <f>#REF!</f>
        <v>#REF!</v>
      </c>
      <c r="H60" s="4092"/>
      <c r="I60" s="4096" t="e">
        <f t="shared" si="5"/>
        <v>#REF!</v>
      </c>
      <c r="J60" s="4096"/>
      <c r="K60" s="4088"/>
      <c r="L60" s="4024"/>
      <c r="M60" s="4023"/>
    </row>
    <row r="61" spans="1:13">
      <c r="A61" s="1388"/>
      <c r="B61" s="1318"/>
      <c r="C61" s="1297">
        <f>SUMIF(C33:C51, "3", H33:H51)</f>
        <v>0</v>
      </c>
      <c r="D61" s="1400">
        <f t="shared" si="4"/>
        <v>0</v>
      </c>
      <c r="E61" s="4094" t="s">
        <v>2459</v>
      </c>
      <c r="F61" s="4095"/>
      <c r="G61" s="4091" t="e">
        <f>#REF!</f>
        <v>#REF!</v>
      </c>
      <c r="H61" s="4092"/>
      <c r="I61" s="4096" t="e">
        <f t="shared" si="5"/>
        <v>#REF!</v>
      </c>
      <c r="J61" s="4096"/>
      <c r="K61" s="4088"/>
      <c r="L61" s="4024"/>
      <c r="M61" s="4023"/>
    </row>
    <row r="62" spans="1:13">
      <c r="A62" s="1388"/>
      <c r="B62" s="1318"/>
      <c r="C62" s="1297">
        <f>SUMIF(C33:C51, "4", H33:H51)</f>
        <v>0</v>
      </c>
      <c r="D62" s="1400">
        <f t="shared" si="4"/>
        <v>0</v>
      </c>
      <c r="E62" s="4094" t="s">
        <v>3871</v>
      </c>
      <c r="F62" s="4095"/>
      <c r="G62" s="4091" t="e">
        <f>#REF!</f>
        <v>#REF!</v>
      </c>
      <c r="H62" s="4092"/>
      <c r="I62" s="4096" t="e">
        <f t="shared" si="5"/>
        <v>#REF!</v>
      </c>
      <c r="J62" s="4096"/>
      <c r="K62" s="4088"/>
      <c r="L62" s="4024"/>
      <c r="M62" s="4023"/>
    </row>
    <row r="63" spans="1:13">
      <c r="A63" s="1397"/>
      <c r="B63" s="1319"/>
      <c r="C63" s="1298">
        <f>SUMIF(C33:C51, "5", H33:H51)</f>
        <v>0</v>
      </c>
      <c r="D63" s="1401">
        <f t="shared" si="4"/>
        <v>0</v>
      </c>
      <c r="E63" s="4098" t="s">
        <v>3872</v>
      </c>
      <c r="F63" s="4099"/>
      <c r="G63" s="4091" t="e">
        <f>#REF!</f>
        <v>#REF!</v>
      </c>
      <c r="H63" s="4092"/>
      <c r="I63" s="4100" t="e">
        <f t="shared" si="5"/>
        <v>#REF!</v>
      </c>
      <c r="J63" s="4100"/>
      <c r="K63" s="1321"/>
      <c r="L63" s="4024"/>
      <c r="M63" s="4023"/>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9"/>
      <c r="B65" s="4079"/>
      <c r="C65" s="4079"/>
      <c r="D65" s="4079"/>
      <c r="E65" s="4079"/>
      <c r="F65" s="4079"/>
      <c r="G65" s="4079"/>
      <c r="H65" s="4079"/>
      <c r="I65" s="4079"/>
      <c r="J65" s="4079"/>
    </row>
    <row r="66" spans="1:11">
      <c r="A66" s="4080" t="s">
        <v>3875</v>
      </c>
      <c r="B66" s="4081"/>
      <c r="C66" s="4081"/>
      <c r="D66" s="4081"/>
      <c r="E66" s="4081"/>
      <c r="F66" s="4081"/>
      <c r="G66" s="4081"/>
      <c r="H66" s="4081"/>
      <c r="I66" s="4081"/>
      <c r="J66" s="4081"/>
      <c r="K66" s="4082"/>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7" t="s">
        <v>3879</v>
      </c>
      <c r="D70" s="4097"/>
      <c r="E70" s="4097"/>
      <c r="F70" s="4097"/>
      <c r="G70" s="4097"/>
      <c r="H70" s="4097"/>
      <c r="I70" s="4097"/>
      <c r="J70" s="409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75" bottom="0.5" header="0.3" footer="0.3"/>
  <pageSetup scale="89" fitToHeight="0" orientation="landscape" r:id="rId1"/>
  <headerFooter>
    <oddHeader>&amp;LGeorgia Department of Community Affairs&amp;C2024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4" t="e">
        <f>CONCATENATE("PART SEVEN - THRESHOLD CRITERIA","  -  ",#REF!," ",#REF!,", ",#REF!,", ",#REF!," County")</f>
        <v>#REF!</v>
      </c>
      <c r="B1" s="3215"/>
      <c r="C1" s="3215"/>
      <c r="D1" s="3215"/>
      <c r="E1" s="3215"/>
      <c r="F1" s="3215"/>
      <c r="G1" s="3215"/>
      <c r="H1" s="3215"/>
      <c r="I1" s="3215"/>
      <c r="J1" s="3215"/>
      <c r="K1" s="3215"/>
      <c r="L1" s="3215"/>
      <c r="M1" s="3215"/>
      <c r="N1" s="3215"/>
      <c r="O1" s="3215"/>
      <c r="P1" s="3215"/>
      <c r="Q1" s="3215"/>
      <c r="R1" s="1713"/>
      <c r="S1" s="1713"/>
    </row>
    <row r="2" spans="1:19" customFormat="1" ht="3" customHeight="1">
      <c r="R2" s="1713"/>
      <c r="S2" s="1713"/>
    </row>
    <row r="3" spans="1:19" ht="13.5" customHeight="1">
      <c r="A3" s="418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2"/>
      <c r="C3" s="4182"/>
      <c r="D3" s="4182"/>
      <c r="E3" s="4182"/>
      <c r="F3" s="4182"/>
      <c r="G3" s="4182"/>
      <c r="H3" s="418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2"/>
      <c r="J3" s="4182"/>
      <c r="K3" s="4182"/>
      <c r="L3" s="4182"/>
      <c r="M3" s="4182"/>
      <c r="N3" s="4182"/>
      <c r="P3" s="4192" t="s">
        <v>875</v>
      </c>
      <c r="Q3" s="4103" t="s">
        <v>4427</v>
      </c>
      <c r="R3" s="1713"/>
      <c r="S3" s="1713"/>
    </row>
    <row r="4" spans="1:19" ht="3" customHeight="1">
      <c r="A4" s="674"/>
      <c r="B4" s="4183"/>
      <c r="C4" s="4183"/>
      <c r="D4" s="4183"/>
      <c r="E4" s="674"/>
      <c r="F4" s="674"/>
      <c r="G4" s="674"/>
      <c r="H4" s="674"/>
      <c r="J4" s="489"/>
      <c r="K4" s="674"/>
      <c r="L4" s="674"/>
      <c r="M4" s="674"/>
      <c r="N4" s="674"/>
      <c r="P4" s="4193"/>
      <c r="Q4" s="4104"/>
      <c r="R4" s="1713"/>
      <c r="S4" s="1713"/>
    </row>
    <row r="5" spans="1:19">
      <c r="E5" s="4191" t="e">
        <f>#REF!</f>
        <v>#REF!</v>
      </c>
      <c r="F5" s="4191"/>
      <c r="G5" s="4191"/>
      <c r="H5" s="4191"/>
      <c r="I5" s="4191"/>
      <c r="J5" s="489"/>
      <c r="K5" s="1714"/>
      <c r="L5" s="1715" t="s">
        <v>4426</v>
      </c>
      <c r="M5" s="1716" t="e">
        <f>#REF!</f>
        <v>#REF!</v>
      </c>
      <c r="N5" s="1717"/>
      <c r="O5" s="1718"/>
      <c r="P5" s="4194"/>
      <c r="Q5" s="4105"/>
      <c r="R5" s="1515"/>
      <c r="S5" s="1515"/>
    </row>
    <row r="6" spans="1:19" ht="17.25" customHeight="1">
      <c r="A6" s="96" t="s">
        <v>4425</v>
      </c>
      <c r="I6" s="489"/>
      <c r="J6" s="489"/>
      <c r="K6" s="4189" t="s">
        <v>3198</v>
      </c>
      <c r="L6" s="4189"/>
      <c r="M6" s="4189"/>
      <c r="N6" s="4189"/>
      <c r="O6" s="4190"/>
      <c r="P6" s="4184"/>
      <c r="Q6" s="4185"/>
      <c r="R6" s="1515"/>
      <c r="S6" s="1515"/>
    </row>
    <row r="7" spans="1:19" ht="12.6" customHeight="1">
      <c r="A7" s="97" t="s">
        <v>2982</v>
      </c>
      <c r="H7" s="985"/>
      <c r="I7" s="1712"/>
      <c r="J7" s="1712"/>
      <c r="K7" s="985"/>
      <c r="L7" s="985"/>
      <c r="M7" s="674"/>
      <c r="N7" s="674"/>
    </row>
    <row r="8" spans="1:19" ht="23.25" customHeight="1">
      <c r="A8" s="4186" t="s">
        <v>1327</v>
      </c>
      <c r="B8" s="4187"/>
      <c r="C8" s="4187"/>
      <c r="D8" s="4187"/>
      <c r="E8" s="4187"/>
      <c r="F8" s="4187"/>
      <c r="G8" s="4187"/>
      <c r="H8" s="4187"/>
      <c r="I8" s="4187"/>
      <c r="J8" s="4187"/>
      <c r="K8" s="4187"/>
      <c r="L8" s="4187"/>
      <c r="M8" s="4187"/>
      <c r="N8" s="4187"/>
      <c r="O8" s="4187"/>
      <c r="P8" s="4187"/>
      <c r="Q8" s="4188"/>
      <c r="R8" s="2947" t="s">
        <v>1878</v>
      </c>
      <c r="S8" s="2908"/>
    </row>
    <row r="9" spans="1:19" ht="23.25" customHeight="1">
      <c r="A9" s="4165" t="s">
        <v>218</v>
      </c>
      <c r="B9" s="4166"/>
      <c r="C9" s="4166"/>
      <c r="D9" s="4166"/>
      <c r="E9" s="4166"/>
      <c r="F9" s="4166"/>
      <c r="G9" s="4166"/>
      <c r="H9" s="4166"/>
      <c r="I9" s="4166"/>
      <c r="J9" s="4166"/>
      <c r="K9" s="4166"/>
      <c r="L9" s="4166"/>
      <c r="M9" s="4166"/>
      <c r="N9" s="4166"/>
      <c r="O9" s="4166"/>
      <c r="P9" s="4166"/>
      <c r="Q9" s="4167"/>
      <c r="R9" s="2947"/>
      <c r="S9" s="2908"/>
    </row>
    <row r="10" spans="1:19" ht="23.25" customHeight="1">
      <c r="A10" s="4165" t="s">
        <v>1323</v>
      </c>
      <c r="B10" s="4166"/>
      <c r="C10" s="4166"/>
      <c r="D10" s="4166"/>
      <c r="E10" s="4166"/>
      <c r="F10" s="4166"/>
      <c r="G10" s="4166"/>
      <c r="H10" s="4166"/>
      <c r="I10" s="4166"/>
      <c r="J10" s="4166"/>
      <c r="K10" s="4166"/>
      <c r="L10" s="4166"/>
      <c r="M10" s="4166"/>
      <c r="N10" s="4166"/>
      <c r="O10" s="4166"/>
      <c r="P10" s="4166"/>
      <c r="Q10" s="4167"/>
      <c r="R10" s="2947"/>
      <c r="S10" s="2908"/>
    </row>
    <row r="11" spans="1:19" ht="23.25" customHeight="1">
      <c r="A11" s="4165" t="s">
        <v>1324</v>
      </c>
      <c r="B11" s="4166"/>
      <c r="C11" s="4166"/>
      <c r="D11" s="4166"/>
      <c r="E11" s="4166"/>
      <c r="F11" s="4166"/>
      <c r="G11" s="4166"/>
      <c r="H11" s="4166"/>
      <c r="I11" s="4166"/>
      <c r="J11" s="4166"/>
      <c r="K11" s="4166"/>
      <c r="L11" s="4166"/>
      <c r="M11" s="4166"/>
      <c r="N11" s="4166"/>
      <c r="O11" s="4166"/>
      <c r="P11" s="4166"/>
      <c r="Q11" s="4167"/>
      <c r="R11" s="2947"/>
      <c r="S11" s="2908"/>
    </row>
    <row r="12" spans="1:19" ht="23.25" customHeight="1">
      <c r="A12" s="4165" t="s">
        <v>1325</v>
      </c>
      <c r="B12" s="4166"/>
      <c r="C12" s="4166"/>
      <c r="D12" s="4166"/>
      <c r="E12" s="4166"/>
      <c r="F12" s="4166"/>
      <c r="G12" s="4166"/>
      <c r="H12" s="4166"/>
      <c r="I12" s="4166"/>
      <c r="J12" s="4166"/>
      <c r="K12" s="4166"/>
      <c r="L12" s="4166"/>
      <c r="M12" s="4166"/>
      <c r="N12" s="4166"/>
      <c r="O12" s="4166"/>
      <c r="P12" s="4166"/>
      <c r="Q12" s="4167"/>
      <c r="R12" s="873"/>
      <c r="S12" s="873"/>
    </row>
    <row r="13" spans="1:19" ht="23.25" customHeight="1">
      <c r="A13" s="4165" t="s">
        <v>1326</v>
      </c>
      <c r="B13" s="4166"/>
      <c r="C13" s="4166"/>
      <c r="D13" s="4166"/>
      <c r="E13" s="4166"/>
      <c r="F13" s="4166"/>
      <c r="G13" s="4166"/>
      <c r="H13" s="4166"/>
      <c r="I13" s="4166"/>
      <c r="J13" s="4166"/>
      <c r="K13" s="4166"/>
      <c r="L13" s="4166"/>
      <c r="M13" s="4166"/>
      <c r="N13" s="4166"/>
      <c r="O13" s="4166"/>
      <c r="P13" s="4166"/>
      <c r="Q13" s="4167"/>
      <c r="R13" s="873"/>
      <c r="S13" s="873"/>
    </row>
    <row r="14" spans="1:19" ht="23.25" customHeight="1">
      <c r="A14" s="4165" t="s">
        <v>1328</v>
      </c>
      <c r="B14" s="4166"/>
      <c r="C14" s="4166"/>
      <c r="D14" s="4166"/>
      <c r="E14" s="4166"/>
      <c r="F14" s="4166"/>
      <c r="G14" s="4166"/>
      <c r="H14" s="4166"/>
      <c r="I14" s="4166"/>
      <c r="J14" s="4166"/>
      <c r="K14" s="4166"/>
      <c r="L14" s="4166"/>
      <c r="M14" s="4166"/>
      <c r="N14" s="4166"/>
      <c r="O14" s="4166"/>
      <c r="P14" s="4166"/>
      <c r="Q14" s="4167"/>
    </row>
    <row r="15" spans="1:19" ht="11.25" customHeight="1">
      <c r="A15" s="4165" t="s">
        <v>1867</v>
      </c>
      <c r="B15" s="4166"/>
      <c r="C15" s="4166"/>
      <c r="D15" s="4166"/>
      <c r="E15" s="4166"/>
      <c r="F15" s="4166"/>
      <c r="G15" s="4166"/>
      <c r="H15" s="4166"/>
      <c r="I15" s="4166"/>
      <c r="J15" s="4166"/>
      <c r="K15" s="4166"/>
      <c r="L15" s="4166"/>
      <c r="M15" s="4166"/>
      <c r="N15" s="4166"/>
      <c r="O15" s="4166"/>
      <c r="P15" s="4166"/>
      <c r="Q15" s="4167"/>
      <c r="R15" s="2947"/>
      <c r="S15" s="2908"/>
    </row>
    <row r="16" spans="1:19" ht="11.25" customHeight="1">
      <c r="A16" s="4165" t="s">
        <v>1868</v>
      </c>
      <c r="B16" s="4166"/>
      <c r="C16" s="4166"/>
      <c r="D16" s="4166"/>
      <c r="E16" s="4166"/>
      <c r="F16" s="4166"/>
      <c r="G16" s="4166"/>
      <c r="H16" s="4166"/>
      <c r="I16" s="4166"/>
      <c r="J16" s="4166"/>
      <c r="K16" s="4166"/>
      <c r="L16" s="4166"/>
      <c r="M16" s="4166"/>
      <c r="N16" s="4166"/>
      <c r="O16" s="4166"/>
      <c r="P16" s="4166"/>
      <c r="Q16" s="4167"/>
      <c r="R16" s="2947"/>
      <c r="S16" s="2908"/>
    </row>
    <row r="17" spans="1:31" ht="11.25" customHeight="1">
      <c r="A17" s="4165" t="s">
        <v>1869</v>
      </c>
      <c r="B17" s="4166"/>
      <c r="C17" s="4166"/>
      <c r="D17" s="4166"/>
      <c r="E17" s="4166"/>
      <c r="F17" s="4166"/>
      <c r="G17" s="4166"/>
      <c r="H17" s="4166"/>
      <c r="I17" s="4166"/>
      <c r="J17" s="4166"/>
      <c r="K17" s="4166"/>
      <c r="L17" s="4166"/>
      <c r="M17" s="4166"/>
      <c r="N17" s="4166"/>
      <c r="O17" s="4166"/>
      <c r="P17" s="4166"/>
      <c r="Q17" s="4167"/>
      <c r="R17" s="2947"/>
      <c r="S17" s="2908"/>
    </row>
    <row r="18" spans="1:31" ht="11.25" customHeight="1">
      <c r="A18" s="4165" t="s">
        <v>1870</v>
      </c>
      <c r="B18" s="4166"/>
      <c r="C18" s="4166"/>
      <c r="D18" s="4166"/>
      <c r="E18" s="4166"/>
      <c r="F18" s="4166"/>
      <c r="G18" s="4166"/>
      <c r="H18" s="4166"/>
      <c r="I18" s="4166"/>
      <c r="J18" s="4166"/>
      <c r="K18" s="4166"/>
      <c r="L18" s="4166"/>
      <c r="M18" s="4166"/>
      <c r="N18" s="4166"/>
      <c r="O18" s="4166"/>
      <c r="P18" s="4166"/>
      <c r="Q18" s="4167"/>
      <c r="R18" s="2947"/>
      <c r="S18" s="2908"/>
    </row>
    <row r="19" spans="1:31" ht="11.25" customHeight="1">
      <c r="A19" s="4165" t="s">
        <v>1871</v>
      </c>
      <c r="B19" s="4166"/>
      <c r="C19" s="4166"/>
      <c r="D19" s="4166"/>
      <c r="E19" s="4166"/>
      <c r="F19" s="4166"/>
      <c r="G19" s="4166"/>
      <c r="H19" s="4166"/>
      <c r="I19" s="4166"/>
      <c r="J19" s="4166"/>
      <c r="K19" s="4166"/>
      <c r="L19" s="4166"/>
      <c r="M19" s="4166"/>
      <c r="N19" s="4166"/>
      <c r="O19" s="4166"/>
      <c r="P19" s="4166"/>
      <c r="Q19" s="4167"/>
      <c r="R19" s="2947"/>
      <c r="S19" s="2908"/>
    </row>
    <row r="20" spans="1:31" ht="11.25" customHeight="1">
      <c r="A20" s="4165" t="s">
        <v>1872</v>
      </c>
      <c r="B20" s="4166"/>
      <c r="C20" s="4166"/>
      <c r="D20" s="4166"/>
      <c r="E20" s="4166"/>
      <c r="F20" s="4166"/>
      <c r="G20" s="4166"/>
      <c r="H20" s="4166"/>
      <c r="I20" s="4166"/>
      <c r="J20" s="4166"/>
      <c r="K20" s="4166"/>
      <c r="L20" s="4166"/>
      <c r="M20" s="4166"/>
      <c r="N20" s="4166"/>
      <c r="O20" s="4166"/>
      <c r="P20" s="4166"/>
      <c r="Q20" s="4167"/>
      <c r="R20" s="2947"/>
      <c r="S20" s="2908"/>
    </row>
    <row r="21" spans="1:31" ht="11.25" customHeight="1">
      <c r="A21" s="4165" t="s">
        <v>1873</v>
      </c>
      <c r="B21" s="4166"/>
      <c r="C21" s="4166"/>
      <c r="D21" s="4166"/>
      <c r="E21" s="4166"/>
      <c r="F21" s="4166"/>
      <c r="G21" s="4166"/>
      <c r="H21" s="4166"/>
      <c r="I21" s="4166"/>
      <c r="J21" s="4166"/>
      <c r="K21" s="4166"/>
      <c r="L21" s="4166"/>
      <c r="M21" s="4166"/>
      <c r="N21" s="4166"/>
      <c r="O21" s="4166"/>
      <c r="P21" s="4166"/>
      <c r="Q21" s="4167"/>
    </row>
    <row r="22" spans="1:31" ht="11.25" customHeight="1">
      <c r="A22" s="4165" t="s">
        <v>1874</v>
      </c>
      <c r="B22" s="4166"/>
      <c r="C22" s="4166"/>
      <c r="D22" s="4166"/>
      <c r="E22" s="4166"/>
      <c r="F22" s="4166"/>
      <c r="G22" s="4166"/>
      <c r="H22" s="4166"/>
      <c r="I22" s="4166"/>
      <c r="J22" s="4166"/>
      <c r="K22" s="4166"/>
      <c r="L22" s="4166"/>
      <c r="M22" s="4166"/>
      <c r="N22" s="4166"/>
      <c r="O22" s="4166"/>
      <c r="P22" s="4166"/>
      <c r="Q22" s="4167"/>
      <c r="R22" s="2947"/>
      <c r="S22" s="2908"/>
    </row>
    <row r="23" spans="1:31" ht="11.25" customHeight="1">
      <c r="A23" s="4165" t="s">
        <v>1875</v>
      </c>
      <c r="B23" s="4166"/>
      <c r="C23" s="4166"/>
      <c r="D23" s="4166"/>
      <c r="E23" s="4166"/>
      <c r="F23" s="4166"/>
      <c r="G23" s="4166"/>
      <c r="H23" s="4166"/>
      <c r="I23" s="4166"/>
      <c r="J23" s="4166"/>
      <c r="K23" s="4166"/>
      <c r="L23" s="4166"/>
      <c r="M23" s="4166"/>
      <c r="N23" s="4166"/>
      <c r="O23" s="4166"/>
      <c r="P23" s="4166"/>
      <c r="Q23" s="4167"/>
      <c r="R23" s="2947"/>
      <c r="S23" s="2908"/>
    </row>
    <row r="24" spans="1:31" ht="11.25" customHeight="1">
      <c r="A24" s="4165" t="s">
        <v>1876</v>
      </c>
      <c r="B24" s="4166"/>
      <c r="C24" s="4166"/>
      <c r="D24" s="4166"/>
      <c r="E24" s="4166"/>
      <c r="F24" s="4166"/>
      <c r="G24" s="4166"/>
      <c r="H24" s="4166"/>
      <c r="I24" s="4166"/>
      <c r="J24" s="4166"/>
      <c r="K24" s="4166"/>
      <c r="L24" s="4166"/>
      <c r="M24" s="4166"/>
      <c r="N24" s="4166"/>
      <c r="O24" s="4166"/>
      <c r="P24" s="4166"/>
      <c r="Q24" s="4167"/>
      <c r="R24" s="2947"/>
      <c r="S24" s="2908"/>
    </row>
    <row r="25" spans="1:31" ht="11.25" customHeight="1">
      <c r="A25" s="4195" t="s">
        <v>1877</v>
      </c>
      <c r="B25" s="4196"/>
      <c r="C25" s="4196"/>
      <c r="D25" s="4196"/>
      <c r="E25" s="4196"/>
      <c r="F25" s="4196"/>
      <c r="G25" s="4196"/>
      <c r="H25" s="4196"/>
      <c r="I25" s="4196"/>
      <c r="J25" s="4196"/>
      <c r="K25" s="4196"/>
      <c r="L25" s="4196"/>
      <c r="M25" s="4196"/>
      <c r="N25" s="4196"/>
      <c r="O25" s="4196"/>
      <c r="P25" s="4196"/>
      <c r="Q25" s="4197"/>
      <c r="R25" s="2947"/>
      <c r="S25" s="2908"/>
    </row>
    <row r="26" spans="1:31" ht="6" customHeight="1"/>
    <row r="27" spans="1:31" ht="14.1" customHeight="1">
      <c r="A27" s="98" t="s">
        <v>688</v>
      </c>
      <c r="B27" s="99" t="s">
        <v>4529</v>
      </c>
      <c r="C27" s="100"/>
      <c r="D27" s="66"/>
      <c r="E27" s="66"/>
      <c r="F27" s="66"/>
      <c r="G27" s="66"/>
      <c r="I27" s="878"/>
      <c r="J27" s="878"/>
      <c r="K27" s="878"/>
      <c r="L27" s="674"/>
      <c r="M27" s="674"/>
      <c r="O27" s="101" t="s">
        <v>1726</v>
      </c>
      <c r="P27" s="4127"/>
      <c r="Q27" s="4116"/>
    </row>
    <row r="28" spans="1:31" ht="3" customHeight="1"/>
    <row r="29" spans="1:31" ht="11.25" customHeight="1">
      <c r="B29" s="42" t="s">
        <v>3157</v>
      </c>
      <c r="C29" s="42"/>
      <c r="D29" s="42"/>
      <c r="E29" s="42"/>
      <c r="F29" s="42"/>
      <c r="G29" s="878"/>
      <c r="H29" s="878"/>
      <c r="I29" s="878"/>
      <c r="J29" s="878"/>
      <c r="K29" s="674"/>
      <c r="L29" s="674"/>
      <c r="M29" s="674"/>
      <c r="N29" s="674"/>
      <c r="O29" s="674"/>
      <c r="P29" s="674"/>
      <c r="S29" s="125"/>
      <c r="T29" s="125"/>
    </row>
    <row r="30" spans="1:31" ht="108.75" customHeight="1">
      <c r="A30" s="4106"/>
      <c r="B30" s="4107"/>
      <c r="C30" s="4107"/>
      <c r="D30" s="4107"/>
      <c r="E30" s="4107"/>
      <c r="F30" s="4107"/>
      <c r="G30" s="4107"/>
      <c r="H30" s="4107"/>
      <c r="I30" s="4107"/>
      <c r="J30" s="4107"/>
      <c r="K30" s="4107"/>
      <c r="L30" s="4107"/>
      <c r="M30" s="4107"/>
      <c r="N30" s="4107"/>
      <c r="O30" s="4107"/>
      <c r="P30" s="4107"/>
      <c r="Q30" s="4108"/>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6"/>
      <c r="B32" s="4206"/>
      <c r="C32" s="4206"/>
      <c r="D32" s="4206"/>
      <c r="E32" s="4206"/>
      <c r="F32" s="4206"/>
      <c r="G32" s="4206"/>
      <c r="H32" s="4206"/>
      <c r="I32" s="4206"/>
      <c r="J32" s="4206"/>
      <c r="K32" s="4206"/>
      <c r="L32" s="4206"/>
      <c r="M32" s="4206"/>
      <c r="N32" s="4206"/>
      <c r="O32" s="4206"/>
      <c r="P32" s="4206"/>
      <c r="Q32" s="4206"/>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5"/>
      <c r="O34" s="101" t="s">
        <v>1726</v>
      </c>
      <c r="P34" s="4127"/>
      <c r="Q34" s="4116"/>
    </row>
    <row r="35" spans="1:31" ht="12.75" customHeight="1">
      <c r="A35" s="2"/>
      <c r="B35" s="108" t="s">
        <v>4537</v>
      </c>
      <c r="C35" s="4"/>
      <c r="D35" s="4"/>
      <c r="E35" s="874"/>
      <c r="F35" s="874"/>
      <c r="H35" s="874"/>
      <c r="J35" s="2928" t="s">
        <v>4363</v>
      </c>
      <c r="K35" s="2929"/>
      <c r="L35" s="2930"/>
      <c r="M35" s="147" t="s">
        <v>1642</v>
      </c>
      <c r="N35" s="4280"/>
      <c r="O35" s="4281"/>
      <c r="P35" s="4281"/>
      <c r="Q35" s="4282"/>
    </row>
    <row r="36" spans="1:31" ht="12.75" customHeight="1">
      <c r="A36" s="2"/>
      <c r="B36" s="108" t="s">
        <v>4536</v>
      </c>
      <c r="C36" s="4"/>
      <c r="D36" s="4"/>
      <c r="E36" s="874"/>
      <c r="F36" s="874"/>
      <c r="G36" s="1575"/>
      <c r="H36" s="874"/>
      <c r="J36" s="2928" t="s">
        <v>4364</v>
      </c>
      <c r="K36" s="2929"/>
      <c r="L36" s="2930"/>
      <c r="M36" s="147" t="s">
        <v>1642</v>
      </c>
      <c r="N36" s="4280"/>
      <c r="O36" s="4281"/>
      <c r="P36" s="4281"/>
      <c r="Q36" s="4282"/>
    </row>
    <row r="37" spans="1:31" ht="12.75" customHeight="1">
      <c r="B37" s="73" t="s">
        <v>3157</v>
      </c>
      <c r="D37" s="73"/>
      <c r="E37" s="73"/>
      <c r="F37" s="73"/>
      <c r="G37" s="73"/>
      <c r="H37" s="33"/>
      <c r="I37" s="878"/>
      <c r="J37" s="878"/>
      <c r="K37" s="1679" t="s">
        <v>1725</v>
      </c>
      <c r="L37" s="674"/>
      <c r="M37" s="674"/>
      <c r="N37" s="674"/>
      <c r="O37" s="674"/>
      <c r="P37" s="674"/>
      <c r="Q37" s="674"/>
    </row>
    <row r="38" spans="1:31" ht="10.5" customHeight="1">
      <c r="A38" s="4106"/>
      <c r="B38" s="4107"/>
      <c r="C38" s="4107"/>
      <c r="D38" s="4107"/>
      <c r="E38" s="4107"/>
      <c r="F38" s="4107"/>
      <c r="G38" s="4107"/>
      <c r="H38" s="4107"/>
      <c r="I38" s="4107"/>
      <c r="J38" s="4108"/>
      <c r="K38" s="4110"/>
      <c r="L38" s="4111"/>
      <c r="M38" s="4111"/>
      <c r="N38" s="4111"/>
      <c r="O38" s="4111"/>
      <c r="P38" s="4111"/>
      <c r="Q38" s="4112"/>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3666</v>
      </c>
      <c r="M40" s="1256" t="s">
        <v>3667</v>
      </c>
      <c r="O40" s="101" t="s">
        <v>1726</v>
      </c>
      <c r="P40" s="4127"/>
      <c r="Q40" s="4116"/>
    </row>
    <row r="41" spans="1:31" ht="1.5" customHeight="1"/>
    <row r="42" spans="1:31" ht="12" customHeight="1">
      <c r="A42" s="110" t="s">
        <v>1836</v>
      </c>
      <c r="B42" s="4109" t="s">
        <v>3661</v>
      </c>
      <c r="C42" s="4109"/>
      <c r="D42" s="4109"/>
      <c r="E42" s="4109"/>
      <c r="F42" s="4109"/>
      <c r="G42" s="4109"/>
      <c r="H42" s="4109"/>
      <c r="I42" s="4109"/>
      <c r="J42" s="4109"/>
      <c r="K42" s="115"/>
      <c r="L42" s="346" t="s">
        <v>2573</v>
      </c>
      <c r="M42" s="1144">
        <v>2</v>
      </c>
      <c r="N42" s="108" t="s">
        <v>3893</v>
      </c>
      <c r="P42" s="4149"/>
      <c r="Q42" s="4161"/>
    </row>
    <row r="43" spans="1:31" ht="12" customHeight="1">
      <c r="A43" s="110"/>
      <c r="B43" s="4109"/>
      <c r="C43" s="4109"/>
      <c r="D43" s="4109"/>
      <c r="E43" s="4109"/>
      <c r="F43" s="4109"/>
      <c r="G43" s="4109"/>
      <c r="H43" s="4109"/>
      <c r="I43" s="4109"/>
      <c r="J43" s="4109"/>
      <c r="K43" s="115"/>
      <c r="L43" s="346" t="s">
        <v>3665</v>
      </c>
      <c r="M43" s="1145">
        <v>4</v>
      </c>
      <c r="O43" s="111"/>
      <c r="P43" s="4150"/>
      <c r="Q43" s="4162"/>
    </row>
    <row r="44" spans="1:31" ht="12" customHeight="1">
      <c r="A44" s="110"/>
      <c r="D44" s="874"/>
      <c r="E44" s="874"/>
      <c r="F44" s="874"/>
      <c r="G44" s="874"/>
      <c r="H44" s="874"/>
      <c r="I44" s="874"/>
      <c r="J44" s="874"/>
      <c r="K44" s="115"/>
      <c r="L44" s="371" t="s">
        <v>4059</v>
      </c>
      <c r="M44" s="1145"/>
      <c r="O44" s="111"/>
      <c r="P44" s="1467"/>
      <c r="Q44" s="1468"/>
    </row>
    <row r="45" spans="1:31" ht="12" customHeight="1">
      <c r="A45" s="40" t="s">
        <v>1838</v>
      </c>
      <c r="B45" s="108" t="s">
        <v>3668</v>
      </c>
      <c r="C45" s="108"/>
      <c r="D45" s="108"/>
      <c r="E45" s="108"/>
      <c r="F45" s="108"/>
      <c r="G45" s="108"/>
      <c r="H45" s="108"/>
      <c r="I45" s="108"/>
      <c r="J45" s="108"/>
      <c r="K45" s="456"/>
      <c r="L45" s="108"/>
      <c r="M45" s="115"/>
      <c r="N45" s="704"/>
      <c r="O45" s="704"/>
      <c r="P45" s="704"/>
    </row>
    <row r="46" spans="1:31" ht="12.75" customHeight="1">
      <c r="A46" s="395"/>
      <c r="B46" s="1161" t="s">
        <v>1611</v>
      </c>
      <c r="C46" s="108" t="s">
        <v>3672</v>
      </c>
      <c r="D46" s="1116"/>
      <c r="E46" s="1116"/>
      <c r="F46" s="1116"/>
      <c r="G46" s="1116"/>
      <c r="H46" s="1116"/>
      <c r="I46" s="1116"/>
      <c r="J46" s="1116"/>
      <c r="K46" s="1115"/>
      <c r="L46" s="703"/>
      <c r="N46" s="108" t="s">
        <v>3894</v>
      </c>
      <c r="O46" s="704"/>
      <c r="P46" s="175"/>
      <c r="Q46" s="418"/>
    </row>
    <row r="47" spans="1:31" ht="12.75" customHeight="1">
      <c r="A47" s="395"/>
      <c r="B47" s="1161" t="s">
        <v>1612</v>
      </c>
      <c r="C47" s="108" t="s">
        <v>3669</v>
      </c>
      <c r="D47" s="1116"/>
      <c r="E47" s="1116"/>
      <c r="F47" s="1116"/>
      <c r="G47" s="1116"/>
      <c r="H47" s="1116"/>
      <c r="I47" s="1116"/>
      <c r="J47" s="1116"/>
      <c r="K47" s="1115"/>
      <c r="L47" s="703"/>
      <c r="N47" s="108" t="s">
        <v>3895</v>
      </c>
      <c r="O47" s="704"/>
      <c r="P47" s="299"/>
      <c r="Q47" s="419"/>
    </row>
    <row r="48" spans="1:31" ht="12.75" customHeight="1">
      <c r="A48" s="1114"/>
      <c r="B48" s="371" t="s">
        <v>1613</v>
      </c>
      <c r="C48" s="108" t="s">
        <v>3670</v>
      </c>
      <c r="E48" s="1116"/>
      <c r="F48" s="1116"/>
      <c r="G48" s="1116"/>
      <c r="H48" s="1116"/>
      <c r="I48" s="1116"/>
      <c r="J48" s="1116"/>
      <c r="K48" s="1115"/>
      <c r="L48" s="703"/>
      <c r="M48" s="704"/>
      <c r="N48" s="108" t="s">
        <v>3896</v>
      </c>
      <c r="O48" s="704"/>
      <c r="P48" s="299"/>
      <c r="Q48" s="419"/>
    </row>
    <row r="49" spans="1:31" ht="12.75" customHeight="1">
      <c r="A49" s="112"/>
      <c r="B49" s="371" t="s">
        <v>2176</v>
      </c>
      <c r="C49" s="371" t="s">
        <v>3673</v>
      </c>
      <c r="D49" s="103"/>
      <c r="E49" s="103"/>
      <c r="F49" s="103"/>
      <c r="G49" s="103"/>
      <c r="H49" s="103"/>
      <c r="I49" s="35"/>
      <c r="J49" s="35"/>
      <c r="N49" s="108" t="s">
        <v>3897</v>
      </c>
      <c r="O49" s="704"/>
      <c r="P49" s="176"/>
      <c r="Q49" s="420"/>
    </row>
    <row r="50" spans="1:31" ht="12.75" customHeight="1">
      <c r="A50" s="112"/>
      <c r="B50" s="371"/>
      <c r="C50" s="108" t="s">
        <v>3674</v>
      </c>
      <c r="D50" s="103"/>
      <c r="E50" s="103"/>
      <c r="F50" s="103"/>
      <c r="G50" s="103"/>
      <c r="H50" s="103"/>
      <c r="I50" s="35"/>
      <c r="J50" s="35"/>
      <c r="L50" s="4172"/>
      <c r="M50" s="4173"/>
      <c r="N50" s="4173"/>
      <c r="O50" s="4173"/>
      <c r="P50" s="4173"/>
      <c r="Q50" s="4174"/>
    </row>
    <row r="51" spans="1:31" ht="12.75" customHeight="1">
      <c r="A51" s="112"/>
      <c r="B51" s="371" t="s">
        <v>1446</v>
      </c>
      <c r="C51" s="4109" t="s">
        <v>3671</v>
      </c>
      <c r="D51" s="4109"/>
      <c r="E51" s="4109"/>
      <c r="F51" s="4109"/>
      <c r="G51" s="4109"/>
      <c r="H51" s="4109"/>
      <c r="I51" s="4109"/>
      <c r="J51" s="4109"/>
      <c r="K51" s="4109"/>
      <c r="L51" s="4109"/>
      <c r="M51" s="412"/>
      <c r="N51" s="108" t="s">
        <v>3898</v>
      </c>
      <c r="O51" s="704"/>
      <c r="P51" s="372"/>
      <c r="Q51" s="417"/>
    </row>
    <row r="52" spans="1:31" ht="12.75" customHeight="1">
      <c r="A52" s="40"/>
      <c r="C52" s="4109"/>
      <c r="D52" s="4109"/>
      <c r="E52" s="4109"/>
      <c r="F52" s="4109"/>
      <c r="G52" s="4109"/>
      <c r="H52" s="4109"/>
      <c r="I52" s="4109"/>
      <c r="J52" s="4109"/>
      <c r="K52" s="4109"/>
      <c r="L52" s="4109"/>
      <c r="M52" s="412"/>
    </row>
    <row r="53" spans="1:31" ht="10.5" customHeight="1">
      <c r="B53" s="73" t="s">
        <v>3157</v>
      </c>
      <c r="D53" s="73"/>
      <c r="E53" s="73"/>
      <c r="F53" s="73"/>
      <c r="G53" s="73"/>
      <c r="H53" s="33"/>
      <c r="I53" s="878"/>
      <c r="J53" s="878"/>
      <c r="K53" s="105" t="s">
        <v>1725</v>
      </c>
      <c r="L53" s="674"/>
      <c r="M53" s="674"/>
      <c r="N53" s="674"/>
      <c r="O53" s="674"/>
      <c r="P53" s="674"/>
      <c r="Q53" s="674"/>
    </row>
    <row r="54" spans="1:31" ht="10.5" customHeight="1">
      <c r="A54" s="4106"/>
      <c r="B54" s="4107"/>
      <c r="C54" s="4107"/>
      <c r="D54" s="4107"/>
      <c r="E54" s="4107"/>
      <c r="F54" s="4107"/>
      <c r="G54" s="4107"/>
      <c r="H54" s="4107"/>
      <c r="I54" s="4107"/>
      <c r="J54" s="4108"/>
      <c r="K54" s="4110"/>
      <c r="L54" s="4111"/>
      <c r="M54" s="4111"/>
      <c r="N54" s="4111"/>
      <c r="O54" s="4111"/>
      <c r="P54" s="4111"/>
      <c r="Q54" s="4112"/>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3891</v>
      </c>
      <c r="C56" s="2"/>
      <c r="D56" s="874"/>
      <c r="E56" s="874"/>
      <c r="F56" s="874"/>
      <c r="G56" s="874"/>
      <c r="H56" s="1263" t="e">
        <f>#REF!</f>
        <v>#REF!</v>
      </c>
      <c r="J56" s="1719" t="s">
        <v>4530</v>
      </c>
      <c r="K56" s="429" t="str">
        <f>'Part VIII Scoring Criteria OLD'!$M$60</f>
        <v>&lt;&lt; Select Pool &gt;&gt;</v>
      </c>
      <c r="L56" s="1719" t="s">
        <v>3698</v>
      </c>
      <c r="M56" s="854" t="str">
        <f>J35</f>
        <v>&lt;&lt; Select PROPOSED Tenancy &gt;&gt;</v>
      </c>
      <c r="O56" s="101" t="s">
        <v>1726</v>
      </c>
      <c r="P56" s="4127"/>
      <c r="Q56" s="4116"/>
    </row>
    <row r="57" spans="1:31" ht="3" customHeight="1"/>
    <row r="58" spans="1:31" ht="12.75" customHeight="1">
      <c r="A58" s="40" t="s">
        <v>1836</v>
      </c>
      <c r="B58" s="32" t="s">
        <v>2258</v>
      </c>
      <c r="D58" s="103"/>
      <c r="E58" s="103"/>
      <c r="F58" s="103"/>
      <c r="G58" s="103"/>
      <c r="H58" s="103"/>
      <c r="I58" s="35"/>
      <c r="J58" s="35"/>
      <c r="K58" s="35"/>
      <c r="L58" s="48" t="s">
        <v>1836</v>
      </c>
      <c r="M58" s="4203"/>
      <c r="N58" s="4204"/>
      <c r="O58" s="4204"/>
      <c r="P58" s="4205"/>
      <c r="Q58" s="418"/>
    </row>
    <row r="59" spans="1:31" ht="12.75" customHeight="1">
      <c r="A59" s="40" t="s">
        <v>1838</v>
      </c>
      <c r="B59" s="29" t="s">
        <v>3822</v>
      </c>
      <c r="D59" s="103"/>
      <c r="E59" s="103"/>
      <c r="F59" s="103"/>
      <c r="L59" s="48" t="s">
        <v>1838</v>
      </c>
      <c r="M59" s="4146"/>
      <c r="N59" s="4147"/>
      <c r="O59" s="4147"/>
      <c r="P59" s="3105"/>
      <c r="Q59" s="419"/>
    </row>
    <row r="60" spans="1:31" ht="12.75" customHeight="1">
      <c r="A60" s="40" t="s">
        <v>697</v>
      </c>
      <c r="B60" s="29" t="s">
        <v>2550</v>
      </c>
      <c r="D60" s="103"/>
      <c r="E60" s="103"/>
      <c r="F60" s="103"/>
      <c r="L60" s="48" t="s">
        <v>697</v>
      </c>
      <c r="M60" s="4142"/>
      <c r="N60" s="4143"/>
      <c r="O60" s="4143"/>
      <c r="P60" s="4144"/>
      <c r="Q60" s="419"/>
    </row>
    <row r="61" spans="1:31" ht="12.75" customHeight="1">
      <c r="A61" s="40" t="s">
        <v>1957</v>
      </c>
      <c r="B61" s="29" t="s">
        <v>3221</v>
      </c>
      <c r="D61" s="103"/>
      <c r="E61" s="103"/>
      <c r="F61" s="103"/>
      <c r="J61" s="48" t="s">
        <v>3222</v>
      </c>
      <c r="K61" s="1446"/>
      <c r="L61" s="1443"/>
      <c r="M61" s="1445"/>
      <c r="N61" s="1444"/>
      <c r="O61" s="864" t="s">
        <v>3303</v>
      </c>
      <c r="P61" s="865"/>
      <c r="Q61" s="1442"/>
    </row>
    <row r="62" spans="1:31" ht="12.75" customHeight="1">
      <c r="A62" s="40" t="s">
        <v>1609</v>
      </c>
      <c r="B62" s="29" t="s">
        <v>3823</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8"/>
      <c r="F64" s="4148"/>
      <c r="G64" s="4148"/>
      <c r="H64" s="48" t="s">
        <v>2176</v>
      </c>
      <c r="I64" s="383"/>
      <c r="J64" s="4148"/>
      <c r="K64" s="4148"/>
      <c r="L64" s="4148"/>
      <c r="M64" s="48" t="s">
        <v>93</v>
      </c>
      <c r="N64" s="383"/>
      <c r="O64" s="4148"/>
      <c r="P64" s="4148"/>
      <c r="Q64" s="4148"/>
    </row>
    <row r="65" spans="1:31" ht="12.75" customHeight="1">
      <c r="C65" s="49" t="s">
        <v>1612</v>
      </c>
      <c r="D65" s="1681"/>
      <c r="E65" s="4258"/>
      <c r="F65" s="4258"/>
      <c r="G65" s="4258"/>
      <c r="H65" s="48" t="s">
        <v>1446</v>
      </c>
      <c r="I65" s="1681"/>
      <c r="J65" s="4258"/>
      <c r="K65" s="4258"/>
      <c r="L65" s="4258"/>
      <c r="M65" s="48" t="s">
        <v>480</v>
      </c>
      <c r="N65" s="1681"/>
      <c r="O65" s="4258"/>
      <c r="P65" s="4258"/>
      <c r="Q65" s="4258"/>
    </row>
    <row r="66" spans="1:31" ht="12.75" customHeight="1">
      <c r="C66" s="49" t="s">
        <v>1613</v>
      </c>
      <c r="D66" s="384"/>
      <c r="E66" s="4198"/>
      <c r="F66" s="4198"/>
      <c r="G66" s="4198"/>
      <c r="H66" s="48" t="s">
        <v>1447</v>
      </c>
      <c r="I66" s="384"/>
      <c r="J66" s="4198"/>
      <c r="K66" s="4198"/>
      <c r="L66" s="4198"/>
      <c r="M66" s="48" t="s">
        <v>481</v>
      </c>
      <c r="N66" s="384"/>
      <c r="O66" s="4198"/>
      <c r="P66" s="4198"/>
      <c r="Q66" s="4198"/>
    </row>
    <row r="67" spans="1:31" ht="12.75" customHeight="1">
      <c r="A67" s="40" t="s">
        <v>1610</v>
      </c>
      <c r="B67" s="29" t="s">
        <v>4007</v>
      </c>
      <c r="D67" s="103"/>
      <c r="E67" s="103"/>
      <c r="F67" s="103"/>
      <c r="G67" s="103"/>
      <c r="H67" s="103"/>
      <c r="I67" s="35"/>
      <c r="J67" s="35"/>
      <c r="K67" s="103"/>
      <c r="L67" s="876"/>
      <c r="M67" s="876"/>
      <c r="O67" s="48" t="s">
        <v>1610</v>
      </c>
      <c r="P67" s="1224"/>
      <c r="Q67" s="1225"/>
    </row>
    <row r="68" spans="1:31" ht="12.75" customHeight="1">
      <c r="A68" s="40" t="s">
        <v>1803</v>
      </c>
      <c r="B68" s="29" t="s">
        <v>4008</v>
      </c>
      <c r="D68" s="103"/>
      <c r="E68" s="103"/>
      <c r="F68" s="103"/>
      <c r="G68" s="103"/>
      <c r="H68" s="103"/>
      <c r="I68" s="35"/>
      <c r="J68" s="35"/>
      <c r="K68" s="103"/>
      <c r="L68" s="876"/>
      <c r="M68" s="876"/>
      <c r="O68" s="48" t="s">
        <v>1803</v>
      </c>
      <c r="P68" s="299"/>
      <c r="Q68" s="419"/>
    </row>
    <row r="69" spans="1:31" ht="10.5" customHeight="1">
      <c r="A69" s="40" t="s">
        <v>2932</v>
      </c>
      <c r="B69" s="29" t="s">
        <v>4009</v>
      </c>
      <c r="D69" s="103"/>
      <c r="E69" s="103"/>
      <c r="F69" s="103"/>
      <c r="G69" s="103"/>
      <c r="H69" s="103"/>
      <c r="I69" s="35"/>
      <c r="J69" s="35"/>
      <c r="K69" s="103"/>
      <c r="L69" s="876"/>
      <c r="M69" s="876"/>
      <c r="O69" s="48" t="s">
        <v>2932</v>
      </c>
      <c r="P69" s="865"/>
      <c r="Q69" s="1442"/>
    </row>
    <row r="70" spans="1:31" ht="9.75" customHeight="1">
      <c r="B70" s="109" t="s">
        <v>3157</v>
      </c>
      <c r="D70" s="109"/>
      <c r="E70" s="109"/>
      <c r="F70" s="109"/>
      <c r="G70" s="109"/>
      <c r="H70" s="33"/>
      <c r="I70" s="878"/>
      <c r="J70" s="878"/>
      <c r="K70" s="878"/>
      <c r="L70" s="674"/>
      <c r="M70" s="674"/>
      <c r="N70" s="674"/>
      <c r="O70" s="674"/>
      <c r="P70" s="674"/>
      <c r="Q70" s="674"/>
    </row>
    <row r="71" spans="1:31" ht="33" customHeight="1">
      <c r="A71" s="4106"/>
      <c r="B71" s="4107"/>
      <c r="C71" s="4107"/>
      <c r="D71" s="4107"/>
      <c r="E71" s="4107"/>
      <c r="F71" s="4107"/>
      <c r="G71" s="4107"/>
      <c r="H71" s="4107"/>
      <c r="I71" s="4107"/>
      <c r="J71" s="4107"/>
      <c r="K71" s="4107"/>
      <c r="L71" s="4107"/>
      <c r="M71" s="4107"/>
      <c r="N71" s="4107"/>
      <c r="O71" s="4107"/>
      <c r="P71" s="4107"/>
      <c r="Q71" s="4108"/>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0"/>
      <c r="B73" s="4111"/>
      <c r="C73" s="4111"/>
      <c r="D73" s="4111"/>
      <c r="E73" s="4111"/>
      <c r="F73" s="4111"/>
      <c r="G73" s="4111"/>
      <c r="H73" s="4111"/>
      <c r="I73" s="4111"/>
      <c r="J73" s="4111"/>
      <c r="K73" s="4111"/>
      <c r="L73" s="4111"/>
      <c r="M73" s="4111"/>
      <c r="N73" s="4111"/>
      <c r="O73" s="4111"/>
      <c r="P73" s="4111"/>
      <c r="Q73" s="4112"/>
    </row>
    <row r="74" spans="1:31" ht="14.1" customHeight="1">
      <c r="A74" s="2" t="s">
        <v>495</v>
      </c>
      <c r="B74" s="2" t="s">
        <v>2416</v>
      </c>
      <c r="C74" s="2"/>
      <c r="D74" s="874"/>
      <c r="E74" s="874"/>
      <c r="F74" s="874"/>
      <c r="G74" s="874"/>
      <c r="H74" s="874"/>
      <c r="I74" s="874"/>
      <c r="J74" s="874"/>
      <c r="K74" s="874"/>
      <c r="L74" s="874"/>
      <c r="M74" s="874"/>
      <c r="O74" s="101" t="s">
        <v>1726</v>
      </c>
      <c r="P74" s="4127"/>
      <c r="Q74" s="4116"/>
    </row>
    <row r="75" spans="1:31" ht="3" customHeight="1"/>
    <row r="76" spans="1:31" ht="12.75" customHeight="1">
      <c r="A76" s="40" t="s">
        <v>1836</v>
      </c>
      <c r="B76" s="29" t="s">
        <v>3899</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2"/>
      <c r="N77" s="4173"/>
      <c r="O77" s="4173"/>
      <c r="P77" s="4267"/>
      <c r="Q77" s="419"/>
    </row>
    <row r="78" spans="1:31" s="35" customFormat="1" ht="12.75" customHeight="1">
      <c r="B78" s="113" t="s">
        <v>1612</v>
      </c>
      <c r="C78" s="29" t="s">
        <v>3713</v>
      </c>
      <c r="O78" s="49" t="s">
        <v>1612</v>
      </c>
      <c r="P78" s="1224"/>
      <c r="Q78" s="1225"/>
    </row>
    <row r="79" spans="1:31" s="35" customFormat="1" ht="12.75" customHeight="1">
      <c r="B79" s="1161" t="s">
        <v>1613</v>
      </c>
      <c r="C79" s="29" t="s">
        <v>3925</v>
      </c>
      <c r="O79" s="117" t="s">
        <v>1613</v>
      </c>
      <c r="P79" s="1339"/>
      <c r="Q79" s="1340"/>
    </row>
    <row r="80" spans="1:31" ht="12.75" customHeight="1">
      <c r="A80" s="878"/>
      <c r="B80" s="371" t="s">
        <v>2176</v>
      </c>
      <c r="C80" s="33" t="s">
        <v>3675</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9" t="s">
        <v>3825</v>
      </c>
      <c r="D84" s="4109"/>
      <c r="E84" s="4109"/>
      <c r="F84" s="4109"/>
      <c r="G84" s="4109"/>
      <c r="H84" s="4109"/>
      <c r="I84" s="4109"/>
      <c r="J84" s="4109"/>
      <c r="K84" s="4109"/>
      <c r="L84" s="4109"/>
      <c r="M84" s="4109"/>
      <c r="N84" s="4109"/>
      <c r="O84" s="128" t="s">
        <v>480</v>
      </c>
      <c r="P84" s="883"/>
      <c r="Q84" s="882"/>
    </row>
    <row r="85" spans="1:31" ht="12.75" customHeight="1">
      <c r="A85" s="40" t="s">
        <v>1838</v>
      </c>
      <c r="B85" s="29" t="s">
        <v>3824</v>
      </c>
      <c r="C85" s="29"/>
      <c r="E85" s="29"/>
      <c r="F85" s="29"/>
      <c r="G85" s="29"/>
      <c r="H85" s="29"/>
      <c r="I85" s="29"/>
      <c r="J85" s="29"/>
      <c r="K85" s="29"/>
      <c r="L85" s="29"/>
      <c r="M85" s="29"/>
      <c r="O85" s="48" t="s">
        <v>1838</v>
      </c>
      <c r="P85" s="1224"/>
      <c r="Q85" s="1225"/>
    </row>
    <row r="86" spans="1:31" ht="12.75" customHeight="1">
      <c r="B86" s="1161" t="s">
        <v>1611</v>
      </c>
      <c r="C86" s="29" t="s">
        <v>3943</v>
      </c>
      <c r="D86" s="29"/>
      <c r="E86" s="29"/>
      <c r="F86" s="29"/>
      <c r="G86" s="29"/>
      <c r="H86" s="29"/>
      <c r="I86" s="29"/>
      <c r="J86" s="29"/>
      <c r="K86" s="29"/>
      <c r="L86" s="29"/>
      <c r="M86" s="29"/>
      <c r="O86" s="117" t="s">
        <v>1611</v>
      </c>
      <c r="P86" s="1224"/>
      <c r="Q86" s="1225"/>
    </row>
    <row r="87" spans="1:31" ht="12.75" customHeight="1">
      <c r="A87" s="40"/>
      <c r="B87" s="113" t="s">
        <v>1612</v>
      </c>
      <c r="C87" s="29" t="s">
        <v>3942</v>
      </c>
      <c r="D87" s="29"/>
      <c r="E87" s="29"/>
      <c r="F87" s="29"/>
      <c r="G87" s="29"/>
      <c r="H87" s="29"/>
      <c r="I87" s="29"/>
      <c r="J87" s="29"/>
      <c r="K87" s="29"/>
      <c r="L87" s="29"/>
      <c r="M87" s="29"/>
      <c r="O87" s="49" t="s">
        <v>1612</v>
      </c>
      <c r="P87" s="1337"/>
      <c r="Q87" s="1336"/>
    </row>
    <row r="88" spans="1:31" ht="10.5" customHeight="1">
      <c r="B88" s="109" t="s">
        <v>3157</v>
      </c>
      <c r="D88" s="109"/>
      <c r="E88" s="109"/>
      <c r="F88" s="109"/>
      <c r="G88" s="109"/>
      <c r="H88" s="33"/>
      <c r="I88" s="878"/>
      <c r="J88" s="878"/>
      <c r="K88" s="878"/>
      <c r="L88" s="674"/>
      <c r="M88" s="674"/>
      <c r="N88" s="674"/>
      <c r="O88" s="674"/>
      <c r="P88" s="674"/>
      <c r="Q88" s="674"/>
    </row>
    <row r="89" spans="1:31" ht="22.5" customHeight="1">
      <c r="A89" s="4106"/>
      <c r="B89" s="4107"/>
      <c r="C89" s="4107"/>
      <c r="D89" s="4107"/>
      <c r="E89" s="4107"/>
      <c r="F89" s="4107"/>
      <c r="G89" s="4107"/>
      <c r="H89" s="4107"/>
      <c r="I89" s="4107"/>
      <c r="J89" s="4107"/>
      <c r="K89" s="4107"/>
      <c r="L89" s="4107"/>
      <c r="M89" s="4107"/>
      <c r="N89" s="4107"/>
      <c r="O89" s="4107"/>
      <c r="P89" s="4107"/>
      <c r="Q89" s="4108"/>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0"/>
      <c r="B91" s="4111"/>
      <c r="C91" s="4111"/>
      <c r="D91" s="4111"/>
      <c r="E91" s="4111"/>
      <c r="F91" s="4111"/>
      <c r="G91" s="4111"/>
      <c r="H91" s="4111"/>
      <c r="I91" s="4111"/>
      <c r="J91" s="4111"/>
      <c r="K91" s="4111"/>
      <c r="L91" s="4111"/>
      <c r="M91" s="4111"/>
      <c r="N91" s="4111"/>
      <c r="O91" s="4111"/>
      <c r="P91" s="4111"/>
      <c r="Q91" s="4112"/>
    </row>
    <row r="92" spans="1:31" ht="14.1" customHeight="1">
      <c r="A92" s="2" t="s">
        <v>719</v>
      </c>
      <c r="B92" s="2" t="s">
        <v>2417</v>
      </c>
      <c r="C92" s="33"/>
      <c r="D92" s="874"/>
      <c r="E92" s="874"/>
      <c r="F92" s="874"/>
      <c r="G92" s="874"/>
      <c r="H92" s="874"/>
      <c r="I92" s="874"/>
      <c r="J92" s="874"/>
      <c r="K92" s="874"/>
      <c r="L92" s="874"/>
      <c r="M92" s="874"/>
      <c r="N92" s="845" t="s">
        <v>4428</v>
      </c>
      <c r="O92" s="101" t="s">
        <v>1726</v>
      </c>
      <c r="P92" s="4127"/>
      <c r="Q92" s="4116"/>
      <c r="R92" s="847" t="s">
        <v>4415</v>
      </c>
    </row>
    <row r="93" spans="1:31" ht="6.6" customHeight="1"/>
    <row r="94" spans="1:31">
      <c r="A94" s="40" t="s">
        <v>1836</v>
      </c>
      <c r="B94" s="29" t="s">
        <v>4084</v>
      </c>
      <c r="D94" s="103"/>
      <c r="E94" s="103"/>
      <c r="F94" s="103"/>
      <c r="G94" s="103"/>
      <c r="H94" s="103"/>
      <c r="I94" s="35"/>
      <c r="J94" s="35"/>
      <c r="K94" s="48" t="s">
        <v>1836</v>
      </c>
      <c r="L94" s="4259"/>
      <c r="M94" s="4259"/>
      <c r="N94" s="4259"/>
      <c r="O94" s="4259"/>
      <c r="P94" s="4260"/>
      <c r="Q94" s="1699"/>
    </row>
    <row r="95" spans="1:31" ht="12" customHeight="1">
      <c r="B95" s="44" t="s">
        <v>4522</v>
      </c>
      <c r="O95" s="49" t="s">
        <v>1612</v>
      </c>
      <c r="P95" s="299"/>
      <c r="Q95" s="419"/>
    </row>
    <row r="96" spans="1:31" ht="12" customHeight="1">
      <c r="B96" s="44" t="s">
        <v>4416</v>
      </c>
      <c r="I96" s="44" t="s">
        <v>4418</v>
      </c>
      <c r="K96" s="1707"/>
      <c r="L96" s="1708"/>
      <c r="N96" s="44" t="s">
        <v>4417</v>
      </c>
      <c r="P96" s="1705"/>
      <c r="Q96" s="1706"/>
    </row>
    <row r="97" spans="1:17" ht="12" customHeight="1">
      <c r="A97" s="40" t="s">
        <v>1838</v>
      </c>
      <c r="B97" s="29" t="s">
        <v>4527</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2"/>
      <c r="N98" s="1702"/>
      <c r="O98" s="1703" t="s">
        <v>697</v>
      </c>
      <c r="P98" s="1701"/>
      <c r="Q98" s="1700"/>
    </row>
    <row r="99" spans="1:17" ht="12" customHeight="1">
      <c r="A99" s="40"/>
      <c r="B99" s="33" t="s">
        <v>1611</v>
      </c>
      <c r="C99" s="29" t="s">
        <v>2444</v>
      </c>
      <c r="E99" s="103"/>
      <c r="F99" s="103"/>
      <c r="G99" s="103"/>
      <c r="H99" s="103"/>
      <c r="I99" s="35"/>
      <c r="J99" s="35"/>
      <c r="K99" s="49" t="s">
        <v>1611</v>
      </c>
      <c r="L99" s="4163"/>
      <c r="M99" s="4163"/>
      <c r="N99" s="4163"/>
      <c r="O99" s="4163"/>
      <c r="P99" s="4164"/>
      <c r="Q99" s="419"/>
    </row>
    <row r="100" spans="1:17" ht="12" customHeight="1">
      <c r="A100" s="107"/>
      <c r="B100" s="113" t="s">
        <v>1612</v>
      </c>
      <c r="C100" s="29" t="s">
        <v>2996</v>
      </c>
      <c r="E100" s="35"/>
      <c r="F100" s="35"/>
      <c r="G100" s="35"/>
      <c r="H100" s="29"/>
      <c r="I100" s="35"/>
      <c r="J100" s="35"/>
      <c r="K100" s="103"/>
      <c r="L100" s="1451"/>
      <c r="M100" s="1451"/>
      <c r="N100" s="1448"/>
      <c r="O100" s="1704" t="s">
        <v>1612</v>
      </c>
      <c r="P100" s="781"/>
      <c r="Q100" s="707"/>
    </row>
    <row r="101" spans="1:17" ht="12" customHeight="1">
      <c r="A101" s="107"/>
      <c r="B101" s="33" t="s">
        <v>1613</v>
      </c>
      <c r="C101" s="29" t="s">
        <v>3662</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4515</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4516</v>
      </c>
      <c r="E104" s="103"/>
      <c r="F104" s="103"/>
      <c r="G104" s="103"/>
      <c r="H104" s="72"/>
      <c r="I104" s="72"/>
      <c r="J104" s="72"/>
      <c r="K104" s="103"/>
      <c r="L104" s="876"/>
      <c r="M104" s="876"/>
      <c r="O104" s="48" t="s">
        <v>1612</v>
      </c>
      <c r="P104" s="299"/>
      <c r="Q104" s="419"/>
    </row>
    <row r="105" spans="1:17" s="115" customFormat="1" ht="12" customHeight="1">
      <c r="A105" s="40"/>
      <c r="B105" s="33"/>
      <c r="C105" s="29" t="s">
        <v>4517</v>
      </c>
      <c r="E105" s="48" t="s">
        <v>2234</v>
      </c>
      <c r="F105" s="29" t="s">
        <v>4518</v>
      </c>
      <c r="G105" s="72"/>
      <c r="H105" s="29"/>
      <c r="I105" s="72"/>
      <c r="J105" s="72"/>
      <c r="K105" s="103"/>
      <c r="L105" s="876"/>
      <c r="M105" s="876"/>
      <c r="O105" s="48" t="s">
        <v>2234</v>
      </c>
      <c r="P105" s="1773"/>
      <c r="Q105" s="1774"/>
    </row>
    <row r="106" spans="1:17" s="115" customFormat="1" ht="12" customHeight="1">
      <c r="A106" s="40"/>
      <c r="B106" s="33"/>
      <c r="E106" s="48" t="s">
        <v>2235</v>
      </c>
      <c r="F106" s="29" t="s">
        <v>4519</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4517</v>
      </c>
      <c r="E108" s="48" t="s">
        <v>2234</v>
      </c>
      <c r="F108" s="29" t="s">
        <v>4520</v>
      </c>
      <c r="G108" s="72"/>
      <c r="H108" s="29"/>
      <c r="I108" s="72"/>
      <c r="J108" s="72"/>
      <c r="K108" s="103"/>
      <c r="L108" s="876"/>
      <c r="O108" s="48" t="s">
        <v>2234</v>
      </c>
      <c r="P108" s="1773"/>
      <c r="Q108" s="1774"/>
    </row>
    <row r="109" spans="1:17" s="115" customFormat="1" ht="12" customHeight="1">
      <c r="A109" s="40"/>
      <c r="B109" s="48"/>
      <c r="E109" s="48" t="s">
        <v>2235</v>
      </c>
      <c r="F109" s="29" t="s">
        <v>4521</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3735</v>
      </c>
      <c r="I111" s="29" t="s">
        <v>2493</v>
      </c>
      <c r="J111" s="1224"/>
      <c r="K111" s="1225"/>
      <c r="L111" s="48" t="s">
        <v>3739</v>
      </c>
      <c r="M111" s="108" t="s">
        <v>4089</v>
      </c>
      <c r="P111" s="1224"/>
      <c r="Q111" s="1225"/>
    </row>
    <row r="112" spans="1:17" ht="12.75" customHeight="1">
      <c r="B112" s="113" t="s">
        <v>1612</v>
      </c>
      <c r="C112" s="29" t="s">
        <v>4085</v>
      </c>
      <c r="E112" s="103"/>
      <c r="F112" s="299"/>
      <c r="G112" s="419"/>
      <c r="H112" s="48" t="s">
        <v>3736</v>
      </c>
      <c r="I112" s="29" t="s">
        <v>4010</v>
      </c>
      <c r="J112" s="299"/>
      <c r="K112" s="419"/>
      <c r="L112" s="48" t="s">
        <v>3740</v>
      </c>
      <c r="M112" s="44" t="s">
        <v>3199</v>
      </c>
      <c r="O112" s="876"/>
      <c r="P112" s="299"/>
      <c r="Q112" s="419"/>
    </row>
    <row r="113" spans="1:31" ht="12" customHeight="1">
      <c r="A113" s="29"/>
      <c r="B113" s="113" t="s">
        <v>1613</v>
      </c>
      <c r="C113" s="29" t="s">
        <v>4086</v>
      </c>
      <c r="E113" s="103"/>
      <c r="F113" s="299"/>
      <c r="G113" s="419"/>
      <c r="H113" s="48" t="s">
        <v>3737</v>
      </c>
      <c r="I113" s="29" t="s">
        <v>4011</v>
      </c>
      <c r="J113" s="299"/>
      <c r="K113" s="419"/>
      <c r="L113" s="48" t="s">
        <v>3741</v>
      </c>
      <c r="M113" s="29" t="s">
        <v>1448</v>
      </c>
      <c r="P113" s="299"/>
      <c r="Q113" s="419"/>
    </row>
    <row r="114" spans="1:31" ht="12" customHeight="1">
      <c r="A114" s="29"/>
      <c r="B114" s="113" t="s">
        <v>2176</v>
      </c>
      <c r="C114" s="44" t="s">
        <v>2408</v>
      </c>
      <c r="E114" s="103"/>
      <c r="F114" s="176"/>
      <c r="G114" s="420"/>
      <c r="H114" s="48" t="s">
        <v>3738</v>
      </c>
      <c r="I114" s="44" t="s">
        <v>4087</v>
      </c>
      <c r="J114" s="176"/>
      <c r="K114" s="420"/>
      <c r="L114" s="48" t="s">
        <v>4088</v>
      </c>
      <c r="M114" s="44" t="s">
        <v>4012</v>
      </c>
      <c r="P114" s="176"/>
      <c r="Q114" s="420"/>
    </row>
    <row r="115" spans="1:31" ht="12" customHeight="1">
      <c r="A115" s="29"/>
      <c r="B115" s="48" t="s">
        <v>4419</v>
      </c>
      <c r="C115" s="29" t="s">
        <v>2494</v>
      </c>
      <c r="E115" s="103"/>
      <c r="F115" s="103"/>
      <c r="G115" s="103"/>
      <c r="H115" s="103"/>
      <c r="I115" s="103"/>
      <c r="J115" s="103"/>
      <c r="K115" s="103"/>
      <c r="L115" s="103"/>
      <c r="M115" s="29"/>
      <c r="O115" s="49"/>
      <c r="P115" s="49"/>
    </row>
    <row r="116" spans="1:31" ht="12" customHeight="1">
      <c r="A116" s="29"/>
      <c r="C116" s="4145"/>
      <c r="D116" s="4145"/>
      <c r="E116" s="4145"/>
      <c r="F116" s="4145"/>
      <c r="G116" s="4145"/>
      <c r="H116" s="4145"/>
      <c r="I116" s="4145"/>
      <c r="J116" s="4145"/>
      <c r="K116" s="4145"/>
      <c r="L116" s="4145"/>
      <c r="M116" s="4145"/>
      <c r="N116" s="4145"/>
      <c r="O116" s="4145"/>
      <c r="P116" s="4145"/>
      <c r="Q116" s="4145"/>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4523</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3723</v>
      </c>
      <c r="E121" s="29"/>
      <c r="F121" s="29"/>
      <c r="G121" s="29"/>
      <c r="H121" s="29"/>
      <c r="I121" s="35"/>
      <c r="J121" s="35"/>
      <c r="K121" s="29"/>
      <c r="L121" s="29"/>
      <c r="M121" s="29"/>
      <c r="O121" s="48" t="s">
        <v>2176</v>
      </c>
      <c r="P121" s="176"/>
      <c r="Q121" s="420"/>
    </row>
    <row r="122" spans="1:31" ht="12" customHeight="1">
      <c r="A122" s="67" t="s">
        <v>3826</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9" t="s">
        <v>141</v>
      </c>
      <c r="C123" s="4109"/>
      <c r="D123" s="4109"/>
      <c r="E123" s="4109"/>
      <c r="F123" s="4109"/>
      <c r="G123" s="4109"/>
      <c r="H123" s="4109"/>
      <c r="I123" s="4109"/>
      <c r="J123" s="4109"/>
      <c r="K123" s="4109"/>
      <c r="L123" s="4109"/>
      <c r="M123" s="128" t="s">
        <v>1803</v>
      </c>
      <c r="N123" s="4123" t="s">
        <v>1641</v>
      </c>
      <c r="O123" s="4124"/>
      <c r="P123" s="4125" t="s">
        <v>1641</v>
      </c>
      <c r="Q123" s="4126"/>
    </row>
    <row r="124" spans="1:31" ht="11.25" customHeight="1">
      <c r="B124" s="109" t="s">
        <v>3157</v>
      </c>
      <c r="D124" s="109"/>
      <c r="E124" s="109"/>
      <c r="F124" s="109"/>
      <c r="G124" s="109"/>
      <c r="H124" s="33"/>
      <c r="I124" s="878"/>
      <c r="J124" s="878"/>
      <c r="K124" s="878"/>
      <c r="L124" s="674"/>
      <c r="M124" s="674"/>
      <c r="N124" s="674"/>
      <c r="O124" s="674"/>
      <c r="P124" s="674"/>
      <c r="Q124" s="674"/>
    </row>
    <row r="125" spans="1:31" ht="45" customHeight="1">
      <c r="A125" s="4106"/>
      <c r="B125" s="4107"/>
      <c r="C125" s="4107"/>
      <c r="D125" s="4107"/>
      <c r="E125" s="4107"/>
      <c r="F125" s="4107"/>
      <c r="G125" s="4107"/>
      <c r="H125" s="4107"/>
      <c r="I125" s="4107"/>
      <c r="J125" s="4107"/>
      <c r="K125" s="4107"/>
      <c r="L125" s="4107"/>
      <c r="M125" s="4107"/>
      <c r="N125" s="4107"/>
      <c r="O125" s="4107"/>
      <c r="P125" s="4107"/>
      <c r="Q125" s="4108"/>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0"/>
      <c r="B128" s="4111"/>
      <c r="C128" s="4111"/>
      <c r="D128" s="4111"/>
      <c r="E128" s="4111"/>
      <c r="F128" s="4111"/>
      <c r="G128" s="4111"/>
      <c r="H128" s="4111"/>
      <c r="I128" s="4111"/>
      <c r="J128" s="4111"/>
      <c r="K128" s="4111"/>
      <c r="L128" s="4111"/>
      <c r="M128" s="4111"/>
      <c r="N128" s="4111"/>
      <c r="O128" s="4111"/>
      <c r="P128" s="4111"/>
      <c r="Q128" s="4112"/>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4428</v>
      </c>
      <c r="O130" s="101" t="s">
        <v>1726</v>
      </c>
      <c r="P130" s="4127"/>
      <c r="Q130" s="4116"/>
      <c r="R130" s="847" t="s">
        <v>4415</v>
      </c>
    </row>
    <row r="131" spans="1:31" ht="12" customHeight="1">
      <c r="A131" s="40" t="s">
        <v>1836</v>
      </c>
      <c r="B131" s="113" t="s">
        <v>1611</v>
      </c>
      <c r="C131" s="29" t="s">
        <v>4430</v>
      </c>
      <c r="D131" s="29"/>
      <c r="E131" s="29"/>
      <c r="F131" s="29"/>
      <c r="G131" s="29"/>
      <c r="K131" s="29" t="s">
        <v>2453</v>
      </c>
      <c r="M131" s="4151"/>
      <c r="N131" s="4152"/>
      <c r="O131" s="49" t="s">
        <v>1611</v>
      </c>
      <c r="P131" s="74"/>
      <c r="Q131" s="416"/>
    </row>
    <row r="132" spans="1:31" ht="12" customHeight="1">
      <c r="A132" s="40"/>
      <c r="B132" s="113" t="s">
        <v>1612</v>
      </c>
      <c r="C132" s="29" t="s">
        <v>3926</v>
      </c>
      <c r="D132" s="29"/>
      <c r="E132" s="29"/>
      <c r="F132" s="29"/>
      <c r="G132" s="29"/>
      <c r="K132" s="29" t="s">
        <v>2453</v>
      </c>
      <c r="M132" s="4151"/>
      <c r="N132" s="4152"/>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6" t="e">
        <f>IF(M133="Ground lease/Option",#REF!,"")</f>
        <v>#REF!</v>
      </c>
      <c r="L133" s="48" t="s">
        <v>1838</v>
      </c>
      <c r="M133" s="4199" t="s">
        <v>4693</v>
      </c>
      <c r="N133" s="4200"/>
      <c r="P133" s="4201" t="s">
        <v>1641</v>
      </c>
      <c r="Q133" s="4202"/>
    </row>
    <row r="134" spans="1:31" ht="12" customHeight="1">
      <c r="A134" s="40" t="s">
        <v>697</v>
      </c>
      <c r="B134" s="108" t="s">
        <v>635</v>
      </c>
      <c r="D134" s="108"/>
      <c r="E134" s="108"/>
      <c r="F134" s="108"/>
      <c r="G134" s="108"/>
      <c r="H134" s="108"/>
      <c r="J134" s="48" t="s">
        <v>697</v>
      </c>
      <c r="K134" s="4172"/>
      <c r="L134" s="4173"/>
      <c r="M134" s="4173"/>
      <c r="N134" s="4173"/>
      <c r="O134" s="4173"/>
      <c r="P134" s="4174"/>
      <c r="Q134" s="416"/>
    </row>
    <row r="135" spans="1:31" ht="21.75" customHeight="1">
      <c r="A135" s="110" t="s">
        <v>1957</v>
      </c>
      <c r="B135" s="4109" t="s">
        <v>4090</v>
      </c>
      <c r="C135" s="4109"/>
      <c r="D135" s="4109"/>
      <c r="E135" s="4109"/>
      <c r="F135" s="4109"/>
      <c r="G135" s="4109"/>
      <c r="H135" s="4109"/>
      <c r="I135" s="4109"/>
      <c r="J135" s="4109"/>
      <c r="K135" s="4109"/>
      <c r="L135" s="4109"/>
      <c r="M135" s="4109"/>
      <c r="N135" s="4109"/>
      <c r="O135" s="128" t="s">
        <v>1957</v>
      </c>
      <c r="P135" s="883"/>
      <c r="Q135" s="882"/>
    </row>
    <row r="136" spans="1:31" ht="12" customHeight="1">
      <c r="B136" s="109" t="s">
        <v>3157</v>
      </c>
      <c r="D136" s="109"/>
      <c r="E136" s="109"/>
      <c r="F136" s="109"/>
      <c r="G136" s="109"/>
      <c r="H136" s="33"/>
      <c r="I136" s="878"/>
      <c r="J136" s="878"/>
      <c r="K136" s="878"/>
      <c r="L136" s="674"/>
      <c r="M136" s="674"/>
      <c r="N136" s="674"/>
      <c r="O136" s="674"/>
      <c r="P136" s="674"/>
      <c r="Q136" s="674"/>
    </row>
    <row r="137" spans="1:31" ht="11.65" customHeight="1">
      <c r="A137" s="4106"/>
      <c r="B137" s="4107"/>
      <c r="C137" s="4107"/>
      <c r="D137" s="4107"/>
      <c r="E137" s="4107"/>
      <c r="F137" s="4107"/>
      <c r="G137" s="4107"/>
      <c r="H137" s="4107"/>
      <c r="I137" s="4107"/>
      <c r="J137" s="4107"/>
      <c r="K137" s="4107"/>
      <c r="L137" s="4107"/>
      <c r="M137" s="4107"/>
      <c r="N137" s="4107"/>
      <c r="O137" s="4107"/>
      <c r="P137" s="4107"/>
      <c r="Q137" s="4108"/>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0"/>
      <c r="B139" s="4111"/>
      <c r="C139" s="4111"/>
      <c r="D139" s="4111"/>
      <c r="E139" s="4111"/>
      <c r="F139" s="4111"/>
      <c r="G139" s="4111"/>
      <c r="H139" s="4111"/>
      <c r="I139" s="4111"/>
      <c r="J139" s="4111"/>
      <c r="K139" s="4111"/>
      <c r="L139" s="4111"/>
      <c r="M139" s="4111"/>
      <c r="N139" s="4111"/>
      <c r="O139" s="4111"/>
      <c r="P139" s="4111"/>
      <c r="Q139" s="4112"/>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7"/>
      <c r="Q141" s="4116"/>
    </row>
    <row r="142" spans="1:31" ht="21.75" customHeight="1">
      <c r="A142" s="110" t="s">
        <v>1836</v>
      </c>
      <c r="B142" s="4109" t="s">
        <v>3150</v>
      </c>
      <c r="C142" s="4109"/>
      <c r="D142" s="4109"/>
      <c r="E142" s="4109"/>
      <c r="F142" s="4109"/>
      <c r="G142" s="4109"/>
      <c r="H142" s="4109"/>
      <c r="I142" s="4109"/>
      <c r="J142" s="4109"/>
      <c r="K142" s="4109"/>
      <c r="L142" s="4109"/>
      <c r="M142" s="4109"/>
      <c r="N142" s="4109"/>
      <c r="O142" s="128" t="s">
        <v>1836</v>
      </c>
      <c r="P142" s="881"/>
      <c r="Q142" s="880"/>
    </row>
    <row r="143" spans="1:31" ht="22.35" customHeight="1">
      <c r="A143" s="110" t="s">
        <v>1838</v>
      </c>
      <c r="B143" s="4109" t="s">
        <v>3676</v>
      </c>
      <c r="C143" s="4109"/>
      <c r="D143" s="4109"/>
      <c r="E143" s="4109"/>
      <c r="F143" s="4109"/>
      <c r="G143" s="4109"/>
      <c r="H143" s="4109"/>
      <c r="I143" s="4109"/>
      <c r="J143" s="4109"/>
      <c r="K143" s="4109"/>
      <c r="L143" s="4109"/>
      <c r="M143" s="4109"/>
      <c r="N143" s="4109"/>
      <c r="O143" s="128" t="s">
        <v>1838</v>
      </c>
      <c r="P143" s="430"/>
      <c r="Q143" s="421"/>
    </row>
    <row r="144" spans="1:31" ht="22.35" customHeight="1">
      <c r="A144" s="110" t="s">
        <v>697</v>
      </c>
      <c r="B144" s="4109" t="s">
        <v>3151</v>
      </c>
      <c r="C144" s="4109"/>
      <c r="D144" s="4109"/>
      <c r="E144" s="4109"/>
      <c r="F144" s="4109"/>
      <c r="G144" s="4109"/>
      <c r="H144" s="4109"/>
      <c r="I144" s="4109"/>
      <c r="J144" s="4109"/>
      <c r="K144" s="4109"/>
      <c r="L144" s="4109"/>
      <c r="M144" s="4109"/>
      <c r="N144" s="4109"/>
      <c r="O144" s="128" t="s">
        <v>697</v>
      </c>
      <c r="P144" s="430"/>
      <c r="Q144" s="421"/>
    </row>
    <row r="145" spans="1:44" ht="21.75" customHeight="1">
      <c r="A145" s="110" t="s">
        <v>1957</v>
      </c>
      <c r="B145" s="4109" t="s">
        <v>3709</v>
      </c>
      <c r="C145" s="4109"/>
      <c r="D145" s="4109"/>
      <c r="E145" s="4109"/>
      <c r="F145" s="4109"/>
      <c r="G145" s="4109"/>
      <c r="H145" s="4109"/>
      <c r="I145" s="4109"/>
      <c r="J145" s="4109"/>
      <c r="K145" s="4109"/>
      <c r="L145" s="4109"/>
      <c r="M145" s="4109"/>
      <c r="N145" s="4109"/>
      <c r="O145" s="128" t="s">
        <v>1957</v>
      </c>
      <c r="P145" s="883"/>
      <c r="Q145" s="882"/>
    </row>
    <row r="146" spans="1:44" ht="12" customHeight="1">
      <c r="B146" s="109" t="s">
        <v>3157</v>
      </c>
      <c r="D146" s="109"/>
      <c r="E146" s="109"/>
      <c r="F146" s="109"/>
      <c r="G146" s="109"/>
      <c r="H146" s="33"/>
      <c r="I146" s="878"/>
      <c r="J146" s="878"/>
      <c r="K146" s="878"/>
      <c r="L146" s="674"/>
      <c r="M146" s="674"/>
      <c r="N146" s="674"/>
      <c r="O146" s="674"/>
      <c r="P146" s="674"/>
      <c r="Q146" s="674"/>
    </row>
    <row r="147" spans="1:44" ht="11.65" customHeight="1">
      <c r="A147" s="4106"/>
      <c r="B147" s="4107"/>
      <c r="C147" s="4107"/>
      <c r="D147" s="4107"/>
      <c r="E147" s="4107"/>
      <c r="F147" s="4107"/>
      <c r="G147" s="4107"/>
      <c r="H147" s="4107"/>
      <c r="I147" s="4107"/>
      <c r="J147" s="4107"/>
      <c r="K147" s="4107"/>
      <c r="L147" s="4107"/>
      <c r="M147" s="4107"/>
      <c r="N147" s="4107"/>
      <c r="O147" s="4107"/>
      <c r="P147" s="4107"/>
      <c r="Q147" s="4108"/>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0"/>
      <c r="B149" s="4111"/>
      <c r="C149" s="4111"/>
      <c r="D149" s="4111"/>
      <c r="E149" s="4111"/>
      <c r="F149" s="4111"/>
      <c r="G149" s="4111"/>
      <c r="H149" s="4111"/>
      <c r="I149" s="4111"/>
      <c r="J149" s="4111"/>
      <c r="K149" s="4111"/>
      <c r="L149" s="4111"/>
      <c r="M149" s="4111"/>
      <c r="N149" s="4111"/>
      <c r="O149" s="4111"/>
      <c r="P149" s="4111"/>
      <c r="Q149" s="4112"/>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3" t="s">
        <v>2420</v>
      </c>
      <c r="C151" s="3543"/>
      <c r="D151" s="3543"/>
      <c r="E151" s="236"/>
      <c r="N151" s="845" t="s">
        <v>4428</v>
      </c>
      <c r="O151" s="101" t="s">
        <v>1726</v>
      </c>
      <c r="P151" s="4127"/>
      <c r="Q151" s="4116"/>
      <c r="R151" s="847" t="s">
        <v>4415</v>
      </c>
    </row>
    <row r="152" spans="1:44" customFormat="1" ht="11.65" customHeight="1">
      <c r="B152" s="44" t="s">
        <v>4550</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4013</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3711</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9" t="s">
        <v>3152</v>
      </c>
      <c r="D158" s="4109"/>
      <c r="E158" s="4109"/>
      <c r="F158" s="4109"/>
      <c r="G158" s="4109"/>
      <c r="H158" s="4109"/>
      <c r="I158" s="4109"/>
      <c r="J158" s="4109"/>
      <c r="K158" s="4109"/>
      <c r="L158" s="4109"/>
      <c r="M158" s="4109"/>
      <c r="N158" s="4109"/>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9" t="s">
        <v>2413</v>
      </c>
      <c r="D160" s="4109"/>
      <c r="E160" s="4109"/>
      <c r="F160" s="4109"/>
      <c r="G160" s="4109"/>
      <c r="H160" s="4109"/>
      <c r="I160" s="4109"/>
      <c r="J160" s="4109"/>
      <c r="K160" s="4109"/>
      <c r="L160" s="4109"/>
      <c r="M160" s="4109"/>
      <c r="N160" s="4109"/>
      <c r="O160" s="128" t="s">
        <v>1446</v>
      </c>
      <c r="P160" s="430"/>
      <c r="Q160" s="421"/>
    </row>
    <row r="161" spans="1:44" s="102" customFormat="1" ht="21.75" customHeight="1">
      <c r="A161" s="110"/>
      <c r="B161" s="371" t="s">
        <v>1447</v>
      </c>
      <c r="C161" s="4109" t="s">
        <v>3223</v>
      </c>
      <c r="D161" s="4109"/>
      <c r="E161" s="4109"/>
      <c r="F161" s="4109"/>
      <c r="G161" s="4109"/>
      <c r="H161" s="4109"/>
      <c r="I161" s="4109"/>
      <c r="J161" s="4109"/>
      <c r="K161" s="4109"/>
      <c r="L161" s="4109"/>
      <c r="M161" s="4109"/>
      <c r="N161" s="4109"/>
      <c r="O161" s="128" t="s">
        <v>1447</v>
      </c>
      <c r="P161" s="430"/>
      <c r="Q161" s="421"/>
    </row>
    <row r="162" spans="1:44" ht="21.75" customHeight="1">
      <c r="A162" s="110" t="s">
        <v>1957</v>
      </c>
      <c r="B162" s="4109" t="s">
        <v>2414</v>
      </c>
      <c r="C162" s="4109"/>
      <c r="D162" s="4109"/>
      <c r="E162" s="4109"/>
      <c r="F162" s="4109"/>
      <c r="G162" s="4109"/>
      <c r="H162" s="4109"/>
      <c r="I162" s="4109"/>
      <c r="J162" s="4109"/>
      <c r="K162" s="4109"/>
      <c r="L162" s="4109"/>
      <c r="M162" s="4109"/>
      <c r="N162" s="4109"/>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3157</v>
      </c>
      <c r="D164" s="109"/>
      <c r="E164" s="109"/>
      <c r="F164" s="109"/>
      <c r="G164" s="109"/>
      <c r="H164" s="33"/>
      <c r="I164" s="878"/>
      <c r="J164" s="878"/>
      <c r="K164" s="878"/>
      <c r="L164" s="674"/>
      <c r="M164" s="674"/>
      <c r="N164" s="674"/>
      <c r="O164" s="674"/>
      <c r="P164" s="674"/>
      <c r="Q164" s="674"/>
    </row>
    <row r="165" spans="1:44" ht="11.65" customHeight="1">
      <c r="A165" s="4106"/>
      <c r="B165" s="4107"/>
      <c r="C165" s="4107"/>
      <c r="D165" s="4107"/>
      <c r="E165" s="4107"/>
      <c r="F165" s="4107"/>
      <c r="G165" s="4107"/>
      <c r="H165" s="4107"/>
      <c r="I165" s="4107"/>
      <c r="J165" s="4107"/>
      <c r="K165" s="4107"/>
      <c r="L165" s="4107"/>
      <c r="M165" s="4107"/>
      <c r="N165" s="4107"/>
      <c r="O165" s="4107"/>
      <c r="P165" s="4107"/>
      <c r="Q165" s="4108"/>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0"/>
      <c r="B167" s="4111"/>
      <c r="C167" s="4111"/>
      <c r="D167" s="4111"/>
      <c r="E167" s="4111"/>
      <c r="F167" s="4111"/>
      <c r="G167" s="4111"/>
      <c r="H167" s="4111"/>
      <c r="I167" s="4111"/>
      <c r="J167" s="4111"/>
      <c r="K167" s="4111"/>
      <c r="L167" s="4111"/>
      <c r="M167" s="4111"/>
      <c r="N167" s="4111"/>
      <c r="O167" s="4111"/>
      <c r="P167" s="4111"/>
      <c r="Q167" s="4112"/>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4428</v>
      </c>
      <c r="O169" s="101" t="s">
        <v>1726</v>
      </c>
      <c r="P169" s="4127"/>
      <c r="Q169" s="4116"/>
      <c r="R169" s="847" t="s">
        <v>4415</v>
      </c>
    </row>
    <row r="170" spans="1:44" customFormat="1" ht="12.75" customHeight="1">
      <c r="B170" s="44" t="s">
        <v>4550</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3" t="s">
        <v>1705</v>
      </c>
      <c r="K171" s="4204"/>
      <c r="L171" s="4204"/>
      <c r="M171" s="4204"/>
      <c r="N171" s="4211"/>
      <c r="O171" s="49" t="s">
        <v>1611</v>
      </c>
      <c r="P171" s="175"/>
      <c r="Q171" s="418"/>
    </row>
    <row r="172" spans="1:44" ht="12.75" customHeight="1">
      <c r="A172" s="107"/>
      <c r="B172" s="109" t="s">
        <v>3157</v>
      </c>
      <c r="C172" s="82"/>
      <c r="D172" s="82"/>
      <c r="E172" s="82"/>
      <c r="F172" s="82"/>
      <c r="H172" s="49" t="s">
        <v>1612</v>
      </c>
      <c r="I172" s="29" t="s">
        <v>1489</v>
      </c>
      <c r="J172" s="4117" t="s">
        <v>1705</v>
      </c>
      <c r="K172" s="4118"/>
      <c r="L172" s="4118"/>
      <c r="M172" s="4118"/>
      <c r="N172" s="4119"/>
      <c r="O172" s="49" t="s">
        <v>1612</v>
      </c>
      <c r="P172" s="176"/>
      <c r="Q172" s="420"/>
    </row>
    <row r="173" spans="1:44" ht="12.75" customHeight="1">
      <c r="A173" s="4106"/>
      <c r="B173" s="4107"/>
      <c r="C173" s="4107"/>
      <c r="D173" s="4107"/>
      <c r="E173" s="4107"/>
      <c r="F173" s="4107"/>
      <c r="G173" s="4107"/>
      <c r="H173" s="4107"/>
      <c r="I173" s="4107"/>
      <c r="J173" s="4107"/>
      <c r="K173" s="4107"/>
      <c r="L173" s="4107"/>
      <c r="M173" s="4107"/>
      <c r="N173" s="4107"/>
      <c r="O173" s="4107"/>
      <c r="P173" s="4107"/>
      <c r="Q173" s="4108"/>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0"/>
      <c r="B175" s="4111"/>
      <c r="C175" s="4111"/>
      <c r="D175" s="4111"/>
      <c r="E175" s="4111"/>
      <c r="F175" s="4111"/>
      <c r="G175" s="4111"/>
      <c r="H175" s="4111"/>
      <c r="I175" s="4111"/>
      <c r="J175" s="4111"/>
      <c r="K175" s="4111"/>
      <c r="L175" s="4111"/>
      <c r="M175" s="4111"/>
      <c r="N175" s="4111"/>
      <c r="O175" s="4111"/>
      <c r="P175" s="4111"/>
      <c r="Q175" s="4112"/>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8"/>
      <c r="J177" s="874"/>
      <c r="K177" s="874"/>
      <c r="L177" s="874"/>
      <c r="M177" s="874"/>
      <c r="N177" s="845" t="s">
        <v>4428</v>
      </c>
      <c r="O177" s="101" t="s">
        <v>1726</v>
      </c>
      <c r="P177" s="4127"/>
      <c r="Q177" s="4116"/>
      <c r="R177" s="847" t="s">
        <v>4415</v>
      </c>
    </row>
    <row r="178" spans="1:44" customFormat="1" ht="12.75" customHeight="1">
      <c r="B178" s="44" t="s">
        <v>4550</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9" t="s">
        <v>1708</v>
      </c>
      <c r="C179" s="4109"/>
      <c r="D179" s="4109"/>
      <c r="E179" s="4109"/>
      <c r="F179" s="4109"/>
      <c r="G179" s="4109"/>
      <c r="H179" s="49" t="s">
        <v>1611</v>
      </c>
      <c r="I179" s="29" t="s">
        <v>591</v>
      </c>
      <c r="J179" s="4203" t="s">
        <v>1705</v>
      </c>
      <c r="K179" s="4204"/>
      <c r="L179" s="4204"/>
      <c r="M179" s="4204"/>
      <c r="N179" s="4211"/>
      <c r="O179" s="128" t="s">
        <v>1389</v>
      </c>
      <c r="P179" s="1224"/>
      <c r="Q179" s="1225"/>
    </row>
    <row r="180" spans="1:44" ht="12.75" customHeight="1">
      <c r="A180" s="118"/>
      <c r="B180" s="4109"/>
      <c r="C180" s="4109"/>
      <c r="D180" s="4109"/>
      <c r="E180" s="4109"/>
      <c r="F180" s="4109"/>
      <c r="G180" s="4109"/>
      <c r="H180" s="49" t="s">
        <v>1612</v>
      </c>
      <c r="I180" s="29" t="s">
        <v>110</v>
      </c>
      <c r="J180" s="4117" t="s">
        <v>1705</v>
      </c>
      <c r="K180" s="4118"/>
      <c r="L180" s="4118"/>
      <c r="M180" s="4118"/>
      <c r="N180" s="4119"/>
      <c r="O180" s="128" t="s">
        <v>1612</v>
      </c>
      <c r="P180" s="1668"/>
      <c r="Q180" s="675"/>
    </row>
    <row r="181" spans="1:44" ht="12.75" customHeight="1">
      <c r="A181" s="40" t="s">
        <v>1838</v>
      </c>
      <c r="B181" s="113" t="s">
        <v>1611</v>
      </c>
      <c r="C181" s="29" t="s">
        <v>4402</v>
      </c>
      <c r="E181" s="29"/>
      <c r="F181" s="29"/>
      <c r="G181" s="29"/>
      <c r="H181" s="29"/>
      <c r="I181" s="29"/>
      <c r="J181" s="29"/>
      <c r="K181" s="35"/>
      <c r="L181" s="29"/>
      <c r="M181" s="29"/>
      <c r="O181" s="128" t="s">
        <v>4403</v>
      </c>
      <c r="P181" s="1224"/>
      <c r="Q181" s="1225"/>
    </row>
    <row r="182" spans="1:44" ht="12.75" customHeight="1">
      <c r="A182" s="40"/>
      <c r="B182" s="113" t="s">
        <v>1612</v>
      </c>
      <c r="C182" s="29" t="s">
        <v>4401</v>
      </c>
      <c r="D182" s="29"/>
      <c r="E182" s="29"/>
      <c r="F182" s="29"/>
      <c r="G182" s="29"/>
      <c r="H182" s="29"/>
      <c r="I182" s="29"/>
      <c r="J182" s="29"/>
      <c r="K182" s="35"/>
      <c r="L182" s="29"/>
      <c r="M182" s="29"/>
      <c r="O182" s="128" t="s">
        <v>1612</v>
      </c>
      <c r="P182" s="176"/>
      <c r="Q182" s="420"/>
    </row>
    <row r="183" spans="1:44" ht="12.75" customHeight="1">
      <c r="A183" s="40" t="s">
        <v>697</v>
      </c>
      <c r="B183" s="29" t="s">
        <v>4422</v>
      </c>
      <c r="D183" s="29"/>
      <c r="E183" s="29"/>
      <c r="F183" s="29"/>
      <c r="G183" s="29"/>
      <c r="H183" s="29"/>
      <c r="I183" s="29"/>
      <c r="J183" s="29"/>
      <c r="K183" s="35"/>
      <c r="L183" s="29"/>
      <c r="M183" s="29"/>
      <c r="O183" s="48" t="s">
        <v>697</v>
      </c>
      <c r="P183" s="1337"/>
      <c r="Q183" s="1336"/>
    </row>
    <row r="184" spans="1:44" ht="12.75" customHeight="1">
      <c r="B184" s="109" t="s">
        <v>3157</v>
      </c>
      <c r="D184" s="109"/>
      <c r="E184" s="109"/>
      <c r="F184" s="109"/>
      <c r="G184" s="109"/>
      <c r="H184" s="33"/>
      <c r="I184" s="878"/>
      <c r="J184" s="878"/>
      <c r="K184" s="878"/>
      <c r="L184" s="674"/>
      <c r="M184" s="674"/>
      <c r="N184" s="674"/>
      <c r="O184" s="674"/>
      <c r="P184" s="674"/>
      <c r="Q184" s="674"/>
    </row>
    <row r="185" spans="1:44" ht="12.75" customHeight="1">
      <c r="A185" s="4106"/>
      <c r="B185" s="4107"/>
      <c r="C185" s="4107"/>
      <c r="D185" s="4107"/>
      <c r="E185" s="4107"/>
      <c r="F185" s="4107"/>
      <c r="G185" s="4107"/>
      <c r="H185" s="4107"/>
      <c r="I185" s="4107"/>
      <c r="J185" s="4107"/>
      <c r="K185" s="4107"/>
      <c r="L185" s="4107"/>
      <c r="M185" s="4107"/>
      <c r="N185" s="4107"/>
      <c r="O185" s="4107"/>
      <c r="P185" s="4107"/>
      <c r="Q185" s="4108"/>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0"/>
      <c r="B187" s="4111"/>
      <c r="C187" s="4111"/>
      <c r="D187" s="4111"/>
      <c r="E187" s="4111"/>
      <c r="F187" s="4111"/>
      <c r="G187" s="4111"/>
      <c r="H187" s="4111"/>
      <c r="I187" s="4111"/>
      <c r="J187" s="4111"/>
      <c r="K187" s="4111"/>
      <c r="L187" s="4111"/>
      <c r="M187" s="4111"/>
      <c r="N187" s="4111"/>
      <c r="O187" s="4111"/>
      <c r="P187" s="4111"/>
      <c r="Q187" s="4112"/>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7"/>
      <c r="Q189" s="4116"/>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3900</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3" t="s">
        <v>1641</v>
      </c>
      <c r="L192" s="4211"/>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156" t="s">
        <v>1641</v>
      </c>
      <c r="L193" s="4157"/>
      <c r="Q193" s="4134"/>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31" t="s">
        <v>4091</v>
      </c>
      <c r="D194" s="4132"/>
      <c r="E194" s="4132"/>
      <c r="F194" s="4132"/>
      <c r="G194" s="4132"/>
      <c r="H194" s="4132"/>
      <c r="I194" s="4132"/>
      <c r="J194" s="4132"/>
      <c r="K194" s="4132"/>
      <c r="L194" s="4132"/>
      <c r="M194" s="4132"/>
      <c r="N194" s="4132"/>
      <c r="O194" s="4133"/>
      <c r="Q194" s="4135"/>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3663</v>
      </c>
      <c r="D195" s="115"/>
      <c r="E195" s="33"/>
      <c r="F195" s="33"/>
      <c r="G195" s="33"/>
      <c r="H195" s="33"/>
      <c r="I195" s="72"/>
      <c r="J195" s="48" t="s">
        <v>1391</v>
      </c>
      <c r="K195" s="4153" t="s">
        <v>1641</v>
      </c>
      <c r="L195" s="4154"/>
      <c r="M195" s="4154"/>
      <c r="N195" s="4155"/>
      <c r="O195" s="1849"/>
      <c r="P195" s="1850"/>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3901</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3730</v>
      </c>
      <c r="D197" s="29"/>
      <c r="E197" s="29"/>
      <c r="F197" s="29"/>
      <c r="G197" s="29"/>
      <c r="H197" s="29"/>
      <c r="I197" s="29"/>
      <c r="J197" s="29"/>
      <c r="K197" s="35"/>
      <c r="L197" s="35"/>
      <c r="M197" s="35"/>
      <c r="N197" s="48" t="s">
        <v>3067</v>
      </c>
      <c r="O197" s="1174" t="e">
        <f>#REF!</f>
        <v>#REF!</v>
      </c>
      <c r="P197" s="4136" t="s">
        <v>3732</v>
      </c>
      <c r="Q197" s="4137"/>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3733</v>
      </c>
      <c r="D198" s="29"/>
      <c r="E198" s="29"/>
      <c r="F198" s="29"/>
      <c r="H198" s="48" t="s">
        <v>3734</v>
      </c>
      <c r="I198" s="29" t="s">
        <v>3743</v>
      </c>
      <c r="M198" s="35"/>
      <c r="N198" s="35"/>
      <c r="O198" s="231"/>
      <c r="P198" s="863" t="s">
        <v>720</v>
      </c>
      <c r="Q198" s="1160" t="s">
        <v>3731</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8" t="s">
        <v>949</v>
      </c>
      <c r="D199" s="4139"/>
      <c r="E199" s="4139"/>
      <c r="F199" s="4139"/>
      <c r="G199" s="4140"/>
      <c r="H199" s="48" t="s">
        <v>1958</v>
      </c>
      <c r="I199" s="4113" t="s">
        <v>3314</v>
      </c>
      <c r="J199" s="4114"/>
      <c r="K199" s="4114"/>
      <c r="L199" s="4114"/>
      <c r="M199" s="4114"/>
      <c r="N199" s="4114"/>
      <c r="O199" s="4141"/>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8" t="s">
        <v>949</v>
      </c>
      <c r="D200" s="4129"/>
      <c r="E200" s="4129"/>
      <c r="F200" s="4129"/>
      <c r="G200" s="4130"/>
      <c r="H200" s="48" t="s">
        <v>1959</v>
      </c>
      <c r="I200" s="3005"/>
      <c r="J200" s="3006"/>
      <c r="K200" s="3006"/>
      <c r="L200" s="3006"/>
      <c r="M200" s="3006"/>
      <c r="N200" s="3006"/>
      <c r="O200" s="3008"/>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8" t="s">
        <v>949</v>
      </c>
      <c r="D201" s="4129"/>
      <c r="E201" s="4129"/>
      <c r="F201" s="4129"/>
      <c r="G201" s="4130"/>
      <c r="H201" s="48" t="s">
        <v>1608</v>
      </c>
      <c r="I201" s="3005" t="s">
        <v>3314</v>
      </c>
      <c r="J201" s="3006"/>
      <c r="K201" s="3006"/>
      <c r="L201" s="3006"/>
      <c r="M201" s="3006"/>
      <c r="N201" s="3006"/>
      <c r="O201" s="3008"/>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3742</v>
      </c>
      <c r="C202" s="4158" t="s">
        <v>949</v>
      </c>
      <c r="D202" s="4159"/>
      <c r="E202" s="4159"/>
      <c r="F202" s="4159"/>
      <c r="G202" s="4160"/>
      <c r="H202" s="48" t="s">
        <v>3742</v>
      </c>
      <c r="I202" s="3044"/>
      <c r="J202" s="3045"/>
      <c r="K202" s="3045"/>
      <c r="L202" s="3045"/>
      <c r="M202" s="3045"/>
      <c r="N202" s="3045"/>
      <c r="O202" s="3047"/>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4014</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9" t="s">
        <v>4637</v>
      </c>
      <c r="D209" s="4109"/>
      <c r="E209" s="4109"/>
      <c r="F209" s="4109"/>
      <c r="G209" s="4109"/>
      <c r="H209" s="4109"/>
      <c r="I209" s="4109"/>
      <c r="J209" s="4109"/>
      <c r="K209" s="4109"/>
      <c r="L209" s="4109"/>
      <c r="M209" s="4109"/>
      <c r="N209" s="4109"/>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4000</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3677</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3157</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6"/>
      <c r="B214" s="4107"/>
      <c r="C214" s="4107"/>
      <c r="D214" s="4107"/>
      <c r="E214" s="4107"/>
      <c r="F214" s="4107"/>
      <c r="G214" s="4107"/>
      <c r="H214" s="4107"/>
      <c r="I214" s="4107"/>
      <c r="J214" s="4107"/>
      <c r="K214" s="4107"/>
      <c r="L214" s="4107"/>
      <c r="M214" s="4107"/>
      <c r="N214" s="4107"/>
      <c r="O214" s="4107"/>
      <c r="P214" s="4107"/>
      <c r="Q214" s="4108"/>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0"/>
      <c r="B216" s="4111"/>
      <c r="C216" s="4111"/>
      <c r="D216" s="4111"/>
      <c r="E216" s="4111"/>
      <c r="F216" s="4111"/>
      <c r="G216" s="4111"/>
      <c r="H216" s="4111"/>
      <c r="I216" s="4111"/>
      <c r="J216" s="4111"/>
      <c r="K216" s="4111"/>
      <c r="L216" s="4111"/>
      <c r="M216" s="4111"/>
      <c r="N216" s="4111"/>
      <c r="O216" s="4111"/>
      <c r="P216" s="4111"/>
      <c r="Q216" s="4112"/>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4015</v>
      </c>
      <c r="C217" s="33"/>
      <c r="D217" s="874"/>
      <c r="E217" s="874"/>
      <c r="F217" s="874"/>
      <c r="G217" s="874"/>
      <c r="H217" s="874"/>
      <c r="I217" s="874"/>
      <c r="J217" s="874"/>
      <c r="K217" s="395" t="s">
        <v>4633</v>
      </c>
      <c r="L217" s="1263" t="e">
        <f>#REF!</f>
        <v>#REF!</v>
      </c>
      <c r="M217" s="874"/>
      <c r="O217" s="101" t="s">
        <v>1726</v>
      </c>
      <c r="P217" s="4127"/>
      <c r="Q217" s="4116"/>
    </row>
    <row r="218" spans="1:44" ht="11.25" customHeight="1">
      <c r="A218" s="110" t="s">
        <v>1836</v>
      </c>
      <c r="B218" s="108" t="s">
        <v>4018</v>
      </c>
    </row>
    <row r="219" spans="1:44" ht="10.5" customHeight="1">
      <c r="A219" s="110"/>
      <c r="B219" s="29" t="s">
        <v>4020</v>
      </c>
      <c r="C219" s="35"/>
      <c r="D219" s="35"/>
      <c r="E219" s="35"/>
      <c r="F219" s="35"/>
      <c r="G219" s="35"/>
      <c r="H219" s="35"/>
      <c r="I219" s="35"/>
      <c r="J219" s="1431" t="s">
        <v>4019</v>
      </c>
      <c r="K219" s="29" t="s">
        <v>4020</v>
      </c>
      <c r="L219" s="35"/>
      <c r="M219" s="35"/>
      <c r="N219" s="35"/>
      <c r="O219" s="35"/>
      <c r="P219" s="35"/>
      <c r="Q219" s="1431" t="s">
        <v>4019</v>
      </c>
    </row>
    <row r="220" spans="1:44" s="102" customFormat="1" ht="11.25" customHeight="1">
      <c r="B220" s="4113"/>
      <c r="C220" s="4114"/>
      <c r="D220" s="4114"/>
      <c r="E220" s="4114"/>
      <c r="F220" s="4114"/>
      <c r="G220" s="4114"/>
      <c r="H220" s="4114"/>
      <c r="I220" s="4114"/>
      <c r="J220" s="1880"/>
      <c r="K220" s="4113"/>
      <c r="L220" s="4114"/>
      <c r="M220" s="4114"/>
      <c r="N220" s="4114"/>
      <c r="O220" s="4114"/>
      <c r="P220" s="4114"/>
      <c r="Q220" s="1880"/>
    </row>
    <row r="221" spans="1:44" s="102" customFormat="1" ht="11.25" customHeight="1">
      <c r="A221" s="110"/>
      <c r="B221" s="3005"/>
      <c r="C221" s="3006"/>
      <c r="D221" s="3006"/>
      <c r="E221" s="3006"/>
      <c r="F221" s="3006"/>
      <c r="G221" s="3006"/>
      <c r="H221" s="3006"/>
      <c r="I221" s="3006"/>
      <c r="J221" s="1881"/>
      <c r="K221" s="3005"/>
      <c r="L221" s="3006"/>
      <c r="M221" s="3006"/>
      <c r="N221" s="3006"/>
      <c r="O221" s="3006"/>
      <c r="P221" s="3006"/>
      <c r="Q221" s="1881"/>
    </row>
    <row r="222" spans="1:44" s="102" customFormat="1" ht="11.25" customHeight="1">
      <c r="A222" s="110"/>
      <c r="B222" s="3005"/>
      <c r="C222" s="3006"/>
      <c r="D222" s="3006"/>
      <c r="E222" s="3006"/>
      <c r="F222" s="3006"/>
      <c r="G222" s="3006"/>
      <c r="H222" s="3006"/>
      <c r="I222" s="3006"/>
      <c r="J222" s="1881"/>
      <c r="K222" s="3005"/>
      <c r="L222" s="3006"/>
      <c r="M222" s="3006"/>
      <c r="N222" s="3006"/>
      <c r="O222" s="3006"/>
      <c r="P222" s="3006"/>
      <c r="Q222" s="1881"/>
    </row>
    <row r="223" spans="1:44" s="102" customFormat="1" ht="11.25" customHeight="1">
      <c r="A223" s="110"/>
      <c r="B223" s="3005"/>
      <c r="C223" s="3006"/>
      <c r="D223" s="3006"/>
      <c r="E223" s="3006"/>
      <c r="F223" s="3006"/>
      <c r="G223" s="3006"/>
      <c r="H223" s="3006"/>
      <c r="I223" s="3006"/>
      <c r="J223" s="1881"/>
      <c r="K223" s="3005"/>
      <c r="L223" s="3006"/>
      <c r="M223" s="3006"/>
      <c r="N223" s="3006"/>
      <c r="O223" s="3006"/>
      <c r="P223" s="3006"/>
      <c r="Q223" s="1881"/>
    </row>
    <row r="224" spans="1:44" s="102" customFormat="1" ht="11.25" customHeight="1">
      <c r="A224" s="110"/>
      <c r="B224" s="3005"/>
      <c r="C224" s="3006"/>
      <c r="D224" s="3006"/>
      <c r="E224" s="3006"/>
      <c r="F224" s="3006"/>
      <c r="G224" s="3006"/>
      <c r="H224" s="3006"/>
      <c r="I224" s="3006"/>
      <c r="J224" s="1881"/>
      <c r="K224" s="3005"/>
      <c r="L224" s="3006"/>
      <c r="M224" s="3006"/>
      <c r="N224" s="3006"/>
      <c r="O224" s="3006"/>
      <c r="P224" s="3006"/>
      <c r="Q224" s="1881"/>
    </row>
    <row r="225" spans="1:44" s="102" customFormat="1" ht="11.25" customHeight="1">
      <c r="A225" s="110"/>
      <c r="B225" s="3005"/>
      <c r="C225" s="3006"/>
      <c r="D225" s="3006"/>
      <c r="E225" s="3006"/>
      <c r="F225" s="3006"/>
      <c r="G225" s="3006"/>
      <c r="H225" s="3006"/>
      <c r="I225" s="3006"/>
      <c r="J225" s="1881"/>
      <c r="K225" s="3005"/>
      <c r="L225" s="3006"/>
      <c r="M225" s="3006"/>
      <c r="N225" s="3006"/>
      <c r="O225" s="3006"/>
      <c r="P225" s="3006"/>
      <c r="Q225" s="1881"/>
    </row>
    <row r="226" spans="1:44" s="102" customFormat="1" ht="11.25" customHeight="1">
      <c r="A226" s="110"/>
      <c r="B226" s="3005"/>
      <c r="C226" s="3006"/>
      <c r="D226" s="3006"/>
      <c r="E226" s="3006"/>
      <c r="F226" s="3006"/>
      <c r="G226" s="3006"/>
      <c r="H226" s="3006"/>
      <c r="I226" s="3006"/>
      <c r="J226" s="1881"/>
      <c r="K226" s="3005"/>
      <c r="L226" s="3006"/>
      <c r="M226" s="3006"/>
      <c r="N226" s="3006"/>
      <c r="O226" s="3006"/>
      <c r="P226" s="3006"/>
      <c r="Q226" s="1881"/>
    </row>
    <row r="227" spans="1:44" s="102" customFormat="1" ht="11.25" customHeight="1">
      <c r="B227" s="3044"/>
      <c r="C227" s="3045"/>
      <c r="D227" s="3045"/>
      <c r="E227" s="3045"/>
      <c r="F227" s="3045"/>
      <c r="G227" s="3045"/>
      <c r="H227" s="3045"/>
      <c r="I227" s="3045"/>
      <c r="J227" s="1882"/>
      <c r="K227" s="3044"/>
      <c r="L227" s="3045"/>
      <c r="M227" s="3045"/>
      <c r="N227" s="3045"/>
      <c r="O227" s="3045"/>
      <c r="P227" s="3045"/>
      <c r="Q227" s="1882"/>
    </row>
    <row r="228" spans="1:44" ht="12" customHeight="1">
      <c r="A228" s="110" t="s">
        <v>1838</v>
      </c>
      <c r="B228" s="1447" t="s">
        <v>4021</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9" t="s">
        <v>4017</v>
      </c>
      <c r="C229" s="4109"/>
      <c r="D229" s="4109"/>
      <c r="E229" s="4109"/>
      <c r="F229" s="4109"/>
      <c r="G229" s="4109"/>
      <c r="H229" s="4109"/>
      <c r="I229" s="4109"/>
      <c r="J229" s="4109"/>
      <c r="K229" s="4109"/>
      <c r="L229" s="4109"/>
      <c r="M229" s="4109"/>
      <c r="N229" s="4109"/>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4016</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3157</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6"/>
      <c r="B232" s="4107"/>
      <c r="C232" s="4107"/>
      <c r="D232" s="4107"/>
      <c r="E232" s="4107"/>
      <c r="F232" s="4107"/>
      <c r="G232" s="4107"/>
      <c r="H232" s="4107"/>
      <c r="I232" s="4107"/>
      <c r="J232" s="4107"/>
      <c r="K232" s="4107"/>
      <c r="L232" s="4107"/>
      <c r="M232" s="4107"/>
      <c r="N232" s="4107"/>
      <c r="O232" s="4107"/>
      <c r="P232" s="4107"/>
      <c r="Q232" s="4108"/>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0"/>
      <c r="B234" s="4111"/>
      <c r="C234" s="4111"/>
      <c r="D234" s="4111"/>
      <c r="E234" s="4111"/>
      <c r="F234" s="4111"/>
      <c r="G234" s="4111"/>
      <c r="H234" s="4111"/>
      <c r="I234" s="4111"/>
      <c r="J234" s="4111"/>
      <c r="K234" s="4111"/>
      <c r="L234" s="4111"/>
      <c r="M234" s="4111"/>
      <c r="N234" s="4111"/>
      <c r="O234" s="4111"/>
      <c r="P234" s="4111"/>
      <c r="Q234" s="4112"/>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3827</v>
      </c>
      <c r="C236" s="4"/>
      <c r="D236" s="66"/>
      <c r="E236" s="66"/>
      <c r="F236" s="66"/>
      <c r="G236" s="66"/>
      <c r="H236" s="874"/>
      <c r="I236" s="874"/>
      <c r="J236" s="874"/>
      <c r="K236" s="874"/>
      <c r="L236" s="657"/>
      <c r="M236" s="1199"/>
      <c r="O236" s="101" t="s">
        <v>1726</v>
      </c>
      <c r="P236" s="4127"/>
      <c r="Q236" s="4116"/>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4092</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72" t="s">
        <v>1641</v>
      </c>
      <c r="L238" s="4173"/>
      <c r="M238" s="4173"/>
      <c r="N238" s="4173"/>
      <c r="O238" s="4174"/>
      <c r="P238" s="4170" t="s">
        <v>1641</v>
      </c>
      <c r="Q238" s="4171"/>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9" t="s">
        <v>4093</v>
      </c>
      <c r="C239" s="4109"/>
      <c r="D239" s="4109"/>
      <c r="E239" s="4109"/>
      <c r="F239" s="4109"/>
      <c r="G239" s="4109"/>
      <c r="H239" s="4109"/>
      <c r="I239" s="4109"/>
      <c r="J239" s="4109"/>
      <c r="K239" s="4109"/>
      <c r="L239" s="4109"/>
      <c r="M239" s="4109"/>
      <c r="N239" s="4109"/>
      <c r="O239" s="4177"/>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6"/>
      <c r="L240" s="4217"/>
      <c r="M240" s="4217"/>
      <c r="N240" s="4217"/>
      <c r="O240" s="4218"/>
      <c r="P240" s="4212"/>
      <c r="Q240" s="4213"/>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7"/>
      <c r="L241" s="4118"/>
      <c r="M241" s="4118"/>
      <c r="N241" s="4118"/>
      <c r="O241" s="4119"/>
      <c r="P241" s="4214"/>
      <c r="Q241" s="4215"/>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4094</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9" t="s">
        <v>4104</v>
      </c>
      <c r="D243" s="4109"/>
      <c r="E243" s="4109"/>
      <c r="F243" s="4109"/>
      <c r="G243" s="4109"/>
      <c r="H243" s="4109"/>
      <c r="I243" s="4109"/>
      <c r="J243" s="4109"/>
      <c r="K243" s="4109"/>
      <c r="L243" s="4109"/>
      <c r="M243" s="4109"/>
      <c r="N243" s="4109"/>
      <c r="O243" s="117" t="s">
        <v>1613</v>
      </c>
      <c r="P243" s="825"/>
      <c r="Q243" s="1501"/>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9" t="s">
        <v>4105</v>
      </c>
      <c r="D244" s="4109"/>
      <c r="E244" s="4109"/>
      <c r="F244" s="4109"/>
      <c r="G244" s="4109"/>
      <c r="H244" s="4109"/>
      <c r="I244" s="4109"/>
      <c r="J244" s="4109"/>
      <c r="K244" s="4109"/>
      <c r="L244" s="4109"/>
      <c r="M244" s="4109"/>
      <c r="N244" s="4109"/>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3225</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9" t="s">
        <v>3162</v>
      </c>
      <c r="C246" s="4269"/>
      <c r="D246" s="4269"/>
      <c r="E246" s="44" t="s">
        <v>3295</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9"/>
      <c r="C247" s="4269"/>
      <c r="D247" s="4269"/>
      <c r="E247" s="44" t="s">
        <v>3296</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9"/>
      <c r="C248" s="4269"/>
      <c r="D248" s="4269"/>
      <c r="E248" s="44" t="s">
        <v>3297</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9"/>
      <c r="C249" s="4269"/>
      <c r="D249" s="4269"/>
      <c r="E249" s="44" t="s">
        <v>3298</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9" t="s">
        <v>4400</v>
      </c>
      <c r="F250" s="4109"/>
      <c r="G250" s="4109"/>
      <c r="H250" s="4109"/>
      <c r="I250" s="4109"/>
      <c r="J250" s="4109"/>
      <c r="K250" s="4109"/>
      <c r="L250" s="4109"/>
      <c r="M250" s="4109"/>
      <c r="N250" s="4109"/>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3157</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6"/>
      <c r="B252" s="4107"/>
      <c r="C252" s="4107"/>
      <c r="D252" s="4107"/>
      <c r="E252" s="4107"/>
      <c r="F252" s="4107"/>
      <c r="G252" s="4107"/>
      <c r="H252" s="4107"/>
      <c r="I252" s="4107"/>
      <c r="J252" s="4107"/>
      <c r="K252" s="4107"/>
      <c r="L252" s="4107"/>
      <c r="M252" s="4107"/>
      <c r="N252" s="4107"/>
      <c r="O252" s="4107"/>
      <c r="P252" s="4107"/>
      <c r="Q252" s="4108"/>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0"/>
      <c r="B254" s="4111"/>
      <c r="C254" s="4111"/>
      <c r="D254" s="4111"/>
      <c r="E254" s="4111"/>
      <c r="F254" s="4111"/>
      <c r="G254" s="4111"/>
      <c r="H254" s="4111"/>
      <c r="I254" s="4111"/>
      <c r="J254" s="4111"/>
      <c r="K254" s="4111"/>
      <c r="L254" s="4111"/>
      <c r="M254" s="4111"/>
      <c r="N254" s="4111"/>
      <c r="O254" s="4111"/>
      <c r="P254" s="4111"/>
      <c r="Q254" s="4112"/>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3283</v>
      </c>
      <c r="B256" s="4" t="s">
        <v>2424</v>
      </c>
      <c r="C256" s="4"/>
      <c r="D256" s="66"/>
      <c r="E256" s="66"/>
      <c r="F256" s="66"/>
      <c r="G256" s="66"/>
      <c r="H256" s="874"/>
      <c r="I256" s="874"/>
      <c r="J256" s="874"/>
      <c r="K256" s="874"/>
      <c r="L256" s="874"/>
      <c r="M256" s="874"/>
      <c r="O256" s="101" t="s">
        <v>1726</v>
      </c>
      <c r="P256" s="4127"/>
      <c r="Q256" s="4116"/>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9" t="s">
        <v>3902</v>
      </c>
      <c r="D257" s="4109"/>
      <c r="E257" s="4109"/>
      <c r="F257" s="4109"/>
      <c r="G257" s="4109"/>
      <c r="H257" s="4109"/>
      <c r="I257" s="4109"/>
      <c r="J257" s="4109"/>
      <c r="K257" s="4109"/>
      <c r="L257" s="4109"/>
      <c r="M257" s="4109"/>
      <c r="N257" s="4109"/>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3159</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3160</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9" t="s">
        <v>3927</v>
      </c>
      <c r="D260" s="4109"/>
      <c r="E260" s="4109"/>
      <c r="F260" s="4109"/>
      <c r="G260" s="4109"/>
      <c r="H260" s="4109"/>
      <c r="I260" s="4109"/>
      <c r="J260" s="4109"/>
      <c r="K260" s="4109"/>
      <c r="L260" s="4109"/>
      <c r="M260" s="4109"/>
      <c r="N260" s="4109"/>
      <c r="O260" s="1341" t="s">
        <v>3928</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3161</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9" t="s">
        <v>4022</v>
      </c>
      <c r="C262" s="4109"/>
      <c r="D262" s="4109"/>
      <c r="E262" s="4109"/>
      <c r="F262" s="4109"/>
      <c r="G262" s="4109"/>
      <c r="H262" s="4109"/>
      <c r="I262" s="4109"/>
      <c r="J262" s="4109"/>
      <c r="K262" s="4109"/>
      <c r="L262" s="4109"/>
      <c r="M262" s="4109"/>
      <c r="N262" s="4109"/>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3157</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6"/>
      <c r="B264" s="4107"/>
      <c r="C264" s="4107"/>
      <c r="D264" s="4107"/>
      <c r="E264" s="4107"/>
      <c r="F264" s="4107"/>
      <c r="G264" s="4107"/>
      <c r="H264" s="4107"/>
      <c r="I264" s="4107"/>
      <c r="J264" s="4107"/>
      <c r="K264" s="4107"/>
      <c r="L264" s="4107"/>
      <c r="M264" s="4107"/>
      <c r="N264" s="4107"/>
      <c r="O264" s="4107"/>
      <c r="P264" s="4107"/>
      <c r="Q264" s="4108"/>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0"/>
      <c r="B266" s="4111"/>
      <c r="C266" s="4111"/>
      <c r="D266" s="4111"/>
      <c r="E266" s="4111"/>
      <c r="F266" s="4111"/>
      <c r="G266" s="4111"/>
      <c r="H266" s="4111"/>
      <c r="I266" s="4111"/>
      <c r="J266" s="4111"/>
      <c r="K266" s="4111"/>
      <c r="L266" s="4111"/>
      <c r="M266" s="4111"/>
      <c r="N266" s="4111"/>
      <c r="O266" s="4111"/>
      <c r="P266" s="4111"/>
      <c r="Q266" s="4112"/>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3284</v>
      </c>
      <c r="B268" s="2" t="s">
        <v>2425</v>
      </c>
      <c r="C268" s="2"/>
      <c r="D268" s="874"/>
      <c r="E268" s="874"/>
      <c r="F268" s="874"/>
      <c r="G268" s="874"/>
      <c r="H268" s="874"/>
      <c r="I268" s="874"/>
      <c r="J268" s="874"/>
      <c r="K268" s="874"/>
      <c r="L268" s="874"/>
      <c r="M268" s="874"/>
      <c r="O268" s="101" t="s">
        <v>1726</v>
      </c>
      <c r="P268" s="4127"/>
      <c r="Q268" s="4116"/>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4092</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4096</v>
      </c>
      <c r="C270" s="72"/>
      <c r="D270" s="72"/>
      <c r="E270" s="72"/>
      <c r="F270" s="72"/>
      <c r="H270" s="72"/>
      <c r="I270" s="72"/>
      <c r="O270" s="128" t="s">
        <v>1836</v>
      </c>
      <c r="R270" s="1153"/>
      <c r="S270" s="1504"/>
      <c r="T270" s="1504"/>
      <c r="U270" s="1504"/>
      <c r="V270" s="1504"/>
      <c r="W270" s="1504"/>
      <c r="X270" s="1504"/>
      <c r="Y270" s="1504"/>
      <c r="Z270" s="1504"/>
      <c r="AA270" s="1504"/>
      <c r="AB270" s="1504"/>
      <c r="AC270" s="1504"/>
      <c r="AD270" s="1504"/>
      <c r="AE270" s="1504"/>
      <c r="AF270" s="1504"/>
      <c r="AG270" s="1504"/>
      <c r="AH270" s="1504"/>
      <c r="AI270" s="1504"/>
      <c r="AJ270" s="1504"/>
      <c r="AK270" s="1504"/>
      <c r="AL270" s="1504"/>
      <c r="AM270" s="1504"/>
      <c r="AN270" s="1504"/>
      <c r="AO270" s="1504"/>
      <c r="AP270" s="1504"/>
      <c r="AQ270" s="1504"/>
      <c r="AR270" s="1504"/>
    </row>
    <row r="271" spans="1:44" s="333" customFormat="1" ht="33" customHeight="1">
      <c r="B271" s="456" t="s">
        <v>1611</v>
      </c>
      <c r="C271" s="4109" t="s">
        <v>3724</v>
      </c>
      <c r="D271" s="4109"/>
      <c r="E271" s="4109"/>
      <c r="F271" s="4109"/>
      <c r="G271" s="4109"/>
      <c r="H271" s="4109"/>
      <c r="I271" s="4109"/>
      <c r="J271" s="4109"/>
      <c r="K271" s="4109"/>
      <c r="L271" s="4109"/>
      <c r="M271" s="4109"/>
      <c r="N271" s="4109"/>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9" t="s">
        <v>2500</v>
      </c>
      <c r="D272" s="4109"/>
      <c r="E272" s="4109"/>
      <c r="F272" s="4109"/>
      <c r="G272" s="4109"/>
      <c r="H272" s="4109"/>
      <c r="I272" s="4109"/>
      <c r="J272" s="4109"/>
      <c r="K272" s="4109"/>
      <c r="L272" s="4109"/>
      <c r="M272" s="4109"/>
      <c r="N272" s="4109"/>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70" t="s">
        <v>3250</v>
      </c>
      <c r="M273" s="4271"/>
      <c r="N273" s="4271"/>
      <c r="O273" s="4271"/>
      <c r="P273" s="4272"/>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4095</v>
      </c>
      <c r="C274" s="72"/>
      <c r="D274" s="72"/>
      <c r="E274" s="72"/>
      <c r="F274" s="72"/>
      <c r="H274" s="72"/>
      <c r="I274" s="72"/>
      <c r="R274" s="1153"/>
      <c r="S274" s="1504"/>
      <c r="T274" s="1504"/>
      <c r="U274" s="1504"/>
      <c r="V274" s="1504"/>
      <c r="W274" s="1504"/>
      <c r="X274" s="1504"/>
      <c r="Y274" s="1504"/>
      <c r="Z274" s="1504"/>
      <c r="AA274" s="1504"/>
      <c r="AB274" s="1504"/>
      <c r="AC274" s="1504"/>
      <c r="AD274" s="1504"/>
      <c r="AE274" s="1504"/>
      <c r="AF274" s="1504"/>
      <c r="AG274" s="1504"/>
      <c r="AH274" s="1504"/>
      <c r="AI274" s="1504"/>
      <c r="AJ274" s="1504"/>
      <c r="AK274" s="1504"/>
      <c r="AL274" s="1504"/>
      <c r="AM274" s="1504"/>
      <c r="AN274" s="1504"/>
      <c r="AO274" s="1504"/>
      <c r="AP274" s="1504"/>
      <c r="AQ274" s="1504"/>
      <c r="AR274" s="1504"/>
    </row>
    <row r="275" spans="1:44" customFormat="1" ht="11.65" customHeight="1">
      <c r="A275" s="107"/>
      <c r="B275" s="29" t="s">
        <v>4097</v>
      </c>
      <c r="C275" s="115"/>
      <c r="D275" s="72"/>
      <c r="E275" s="72"/>
      <c r="F275" s="115"/>
      <c r="H275" s="115"/>
      <c r="I275" s="115"/>
      <c r="N275" s="1711" t="s">
        <v>4098</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3157</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6"/>
      <c r="B277" s="4107"/>
      <c r="C277" s="4107"/>
      <c r="D277" s="4107"/>
      <c r="E277" s="4107"/>
      <c r="F277" s="4107"/>
      <c r="G277" s="4107"/>
      <c r="H277" s="4107"/>
      <c r="I277" s="4107"/>
      <c r="J277" s="4107"/>
      <c r="K277" s="4107"/>
      <c r="L277" s="4107"/>
      <c r="M277" s="4107"/>
      <c r="N277" s="4107"/>
      <c r="O277" s="4107"/>
      <c r="P277" s="4107"/>
      <c r="Q277" s="4108"/>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0"/>
      <c r="B279" s="4111"/>
      <c r="C279" s="4111"/>
      <c r="D279" s="4111"/>
      <c r="E279" s="4111"/>
      <c r="F279" s="4111"/>
      <c r="G279" s="4111"/>
      <c r="H279" s="4111"/>
      <c r="I279" s="4111"/>
      <c r="J279" s="4111"/>
      <c r="K279" s="4111"/>
      <c r="L279" s="4111"/>
      <c r="M279" s="4111"/>
      <c r="N279" s="4111"/>
      <c r="O279" s="4111"/>
      <c r="P279" s="4111"/>
      <c r="Q279" s="4112"/>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3282</v>
      </c>
      <c r="B281" s="2" t="s">
        <v>2426</v>
      </c>
      <c r="C281" s="116"/>
      <c r="D281" s="877"/>
      <c r="E281" s="874"/>
      <c r="F281" s="874"/>
      <c r="G281" s="874"/>
      <c r="H281" s="874"/>
      <c r="I281" s="874"/>
      <c r="J281" s="874"/>
      <c r="K281" s="874"/>
      <c r="L281" s="874"/>
      <c r="M281" s="874"/>
      <c r="O281" s="101" t="s">
        <v>1726</v>
      </c>
      <c r="P281" s="4127"/>
      <c r="Q281" s="4116"/>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4092</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3299</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9" t="s">
        <v>4551</v>
      </c>
      <c r="D284" s="4109"/>
      <c r="E284" s="4109"/>
      <c r="F284" s="4109"/>
      <c r="G284" s="4109"/>
      <c r="H284" s="4109"/>
      <c r="I284" s="4109"/>
      <c r="J284" s="4109"/>
      <c r="K284" s="4109"/>
      <c r="L284" s="4109"/>
      <c r="M284" s="4109"/>
      <c r="N284" s="4109"/>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9" t="s">
        <v>4552</v>
      </c>
      <c r="D285" s="4109"/>
      <c r="E285" s="4109"/>
      <c r="F285" s="4109"/>
      <c r="G285" s="4109"/>
      <c r="H285" s="4109"/>
      <c r="I285" s="4109"/>
      <c r="J285" s="4109"/>
      <c r="K285" s="4109"/>
      <c r="L285" s="4109"/>
      <c r="M285" s="4109"/>
      <c r="N285" s="4109"/>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9" t="s">
        <v>4099</v>
      </c>
      <c r="D286" s="4109"/>
      <c r="E286" s="4109"/>
      <c r="F286" s="4109"/>
      <c r="G286" s="4109"/>
      <c r="H286" s="4109"/>
      <c r="I286" s="4109"/>
      <c r="J286" s="4109"/>
      <c r="K286" s="4109"/>
      <c r="L286" s="4109"/>
      <c r="M286" s="4109"/>
      <c r="N286" s="4109"/>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3210</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9" t="s">
        <v>4102</v>
      </c>
      <c r="E288" s="4109"/>
      <c r="F288" s="4109"/>
      <c r="G288" s="4109"/>
      <c r="H288" s="4109"/>
      <c r="I288" s="108"/>
      <c r="J288" s="4168" t="s">
        <v>3183</v>
      </c>
      <c r="K288" s="4136"/>
      <c r="L288" s="4136"/>
      <c r="M288" s="4181" t="s">
        <v>3164</v>
      </c>
      <c r="N288" s="418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9"/>
      <c r="E289" s="4109"/>
      <c r="F289" s="4109"/>
      <c r="G289" s="4109"/>
      <c r="H289" s="4109"/>
      <c r="I289" s="248"/>
      <c r="J289" s="4136"/>
      <c r="K289" s="4136"/>
      <c r="L289" s="4136"/>
      <c r="M289" s="29" t="s">
        <v>3165</v>
      </c>
      <c r="N289" s="878" t="s">
        <v>3182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9"/>
      <c r="E290" s="4109"/>
      <c r="F290" s="4109"/>
      <c r="G290" s="4109"/>
      <c r="H290" s="4109"/>
      <c r="I290" s="29" t="s">
        <v>3300</v>
      </c>
      <c r="K290" s="1506"/>
      <c r="L290" s="782" t="e">
        <f>IF(K290&lt;M290,"Check!!!","")</f>
        <v>#REF!</v>
      </c>
      <c r="M290" s="1508"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9" t="s">
        <v>4103</v>
      </c>
      <c r="E291" s="4109"/>
      <c r="F291" s="4109"/>
      <c r="G291" s="4109"/>
      <c r="H291" s="4109"/>
      <c r="I291" s="369" t="s">
        <v>3301</v>
      </c>
      <c r="J291" s="144"/>
      <c r="K291" s="1507"/>
      <c r="L291" s="782" t="e">
        <f>IF(K291&lt;M291,"Check!!!","")</f>
        <v>#REF!</v>
      </c>
      <c r="M291" s="1509" t="e">
        <f>ROUNDUP(K290*'Part VII-Threshold Criteria OLD'!N291,0)</f>
        <v>#REF!</v>
      </c>
      <c r="N291" s="1146" t="e">
        <f>#REF!</f>
        <v>#REF!</v>
      </c>
      <c r="O291" s="48" t="s">
        <v>1959</v>
      </c>
      <c r="P291" s="4275"/>
      <c r="Q291" s="4273"/>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9"/>
      <c r="E292" s="4109"/>
      <c r="F292" s="4109"/>
      <c r="G292" s="4109"/>
      <c r="H292" s="4109"/>
      <c r="O292" s="33"/>
      <c r="P292" s="4276"/>
      <c r="Q292" s="4274"/>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9" t="s">
        <v>4634</v>
      </c>
      <c r="D293" s="4109"/>
      <c r="E293" s="4109"/>
      <c r="F293" s="4109"/>
      <c r="G293" s="4109"/>
      <c r="H293" s="4109"/>
      <c r="I293" s="29" t="s">
        <v>3302</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9"/>
      <c r="D294" s="4109"/>
      <c r="E294" s="4109"/>
      <c r="F294" s="4109"/>
      <c r="G294" s="4109"/>
      <c r="H294" s="4109"/>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9"/>
      <c r="D295" s="4109"/>
      <c r="E295" s="4109"/>
      <c r="F295" s="4109"/>
      <c r="G295" s="4109"/>
      <c r="H295" s="4109"/>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3211</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9" t="s">
        <v>4613</v>
      </c>
      <c r="C297" s="4109"/>
      <c r="D297" s="4109"/>
      <c r="E297" s="4109"/>
      <c r="F297" s="4109"/>
      <c r="G297" s="4109"/>
      <c r="H297" s="4109"/>
      <c r="I297" s="4109"/>
      <c r="J297" s="4109"/>
      <c r="K297" s="4109"/>
      <c r="L297" s="4109"/>
      <c r="M297" s="4109"/>
      <c r="N297" s="4109"/>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3163</v>
      </c>
      <c r="J298" s="108"/>
      <c r="K298" s="108"/>
      <c r="L298" s="4234"/>
      <c r="M298" s="4235"/>
      <c r="N298" s="4235"/>
      <c r="O298" s="4235"/>
      <c r="P298" s="4235"/>
      <c r="Q298" s="4236"/>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9" t="s">
        <v>4553</v>
      </c>
      <c r="D299" s="4109"/>
      <c r="E299" s="4109"/>
      <c r="F299" s="4109"/>
      <c r="G299" s="4109"/>
      <c r="H299" s="4109"/>
      <c r="I299" s="4109"/>
      <c r="J299" s="4109"/>
      <c r="K299" s="4109"/>
      <c r="L299" s="4109"/>
      <c r="M299" s="4109"/>
      <c r="N299" s="4109"/>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9" t="s">
        <v>3710</v>
      </c>
      <c r="D300" s="4109"/>
      <c r="E300" s="4109"/>
      <c r="F300" s="4109"/>
      <c r="G300" s="4109"/>
      <c r="H300" s="4109"/>
      <c r="I300" s="4109"/>
      <c r="J300" s="4109"/>
      <c r="K300" s="4109"/>
      <c r="L300" s="4109"/>
      <c r="M300" s="4109"/>
      <c r="N300" s="4109"/>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9" t="s">
        <v>3084</v>
      </c>
      <c r="D301" s="4109"/>
      <c r="E301" s="4109"/>
      <c r="F301" s="4109"/>
      <c r="G301" s="4109"/>
      <c r="H301" s="4109"/>
      <c r="I301" s="4109"/>
      <c r="J301" s="4109"/>
      <c r="K301" s="4109"/>
      <c r="L301" s="4109"/>
      <c r="M301" s="4109"/>
      <c r="N301" s="4109"/>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9" t="s">
        <v>3085</v>
      </c>
      <c r="D302" s="4109"/>
      <c r="E302" s="4109"/>
      <c r="F302" s="4109"/>
      <c r="G302" s="4109"/>
      <c r="H302" s="4109"/>
      <c r="I302" s="4109"/>
      <c r="J302" s="4109"/>
      <c r="K302" s="4109"/>
      <c r="L302" s="4109"/>
      <c r="M302" s="4109"/>
      <c r="N302" s="4109"/>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3157</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6"/>
      <c r="B304" s="4107"/>
      <c r="C304" s="4107"/>
      <c r="D304" s="4107"/>
      <c r="E304" s="4107"/>
      <c r="F304" s="4107"/>
      <c r="G304" s="4107"/>
      <c r="H304" s="4107"/>
      <c r="I304" s="4107"/>
      <c r="J304" s="4107"/>
      <c r="K304" s="4107"/>
      <c r="L304" s="4107"/>
      <c r="M304" s="4107"/>
      <c r="N304" s="4107"/>
      <c r="O304" s="4107"/>
      <c r="P304" s="4107"/>
      <c r="Q304" s="4108"/>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7"/>
      <c r="B306" s="4278"/>
      <c r="C306" s="4278"/>
      <c r="D306" s="4278"/>
      <c r="E306" s="4278"/>
      <c r="F306" s="4278"/>
      <c r="G306" s="4278"/>
      <c r="H306" s="4278"/>
      <c r="I306" s="4278"/>
      <c r="J306" s="4278"/>
      <c r="K306" s="4278"/>
      <c r="L306" s="4278"/>
      <c r="M306" s="4278"/>
      <c r="N306" s="4278"/>
      <c r="O306" s="4278"/>
      <c r="P306" s="4278"/>
      <c r="Q306" s="4279"/>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3285</v>
      </c>
      <c r="B307" s="4" t="s">
        <v>2427</v>
      </c>
      <c r="C307" s="4"/>
      <c r="D307" s="4"/>
      <c r="E307" s="4"/>
      <c r="F307" s="4"/>
      <c r="G307" s="4"/>
      <c r="H307" s="874"/>
      <c r="I307" s="874"/>
      <c r="J307" s="874"/>
      <c r="K307" s="874"/>
      <c r="L307" s="874"/>
      <c r="M307" s="874"/>
      <c r="O307" s="101" t="s">
        <v>1726</v>
      </c>
      <c r="P307" s="4175"/>
      <c r="Q307" s="4176"/>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3664</v>
      </c>
      <c r="E310" s="33"/>
      <c r="F310" s="33"/>
      <c r="G310" s="33"/>
      <c r="H310" s="33"/>
      <c r="I310" s="72"/>
      <c r="J310" s="48"/>
      <c r="K310" s="4172" t="s">
        <v>1641</v>
      </c>
      <c r="L310" s="4173"/>
      <c r="M310" s="4173"/>
      <c r="N310" s="4174"/>
      <c r="O310" s="66"/>
      <c r="P310" s="1505"/>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9" t="s">
        <v>4562</v>
      </c>
      <c r="C312" s="4109"/>
      <c r="D312" s="4109"/>
      <c r="E312" s="4109"/>
      <c r="F312" s="4109"/>
      <c r="G312" s="4109"/>
      <c r="H312" s="4109"/>
      <c r="I312" s="4109"/>
      <c r="J312" s="4109"/>
      <c r="K312" s="4109"/>
      <c r="L312" s="4109"/>
      <c r="M312" s="4109"/>
      <c r="N312" s="4109"/>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4" t="s">
        <v>2141</v>
      </c>
      <c r="H314" s="4225"/>
      <c r="I314" s="4225"/>
      <c r="J314" s="4225"/>
      <c r="K314" s="4225"/>
      <c r="L314" s="4225"/>
      <c r="M314" s="4225"/>
      <c r="N314" s="4226"/>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9" t="s">
        <v>1065</v>
      </c>
      <c r="D315" s="4109"/>
      <c r="E315" s="4109"/>
      <c r="F315" s="4177"/>
      <c r="G315" s="3044" t="s">
        <v>1017</v>
      </c>
      <c r="H315" s="4219"/>
      <c r="I315" s="4219"/>
      <c r="J315" s="4219"/>
      <c r="K315" s="4219"/>
      <c r="L315" s="4219"/>
      <c r="M315" s="4219"/>
      <c r="N315" s="422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4023</v>
      </c>
      <c r="D317" s="1452"/>
      <c r="E317" s="1452"/>
      <c r="F317" s="1452"/>
      <c r="G317" s="4268" t="s">
        <v>4024</v>
      </c>
      <c r="H317" s="4268"/>
      <c r="I317" s="4268"/>
      <c r="J317" s="4268"/>
      <c r="K317" s="4268"/>
      <c r="L317" s="4268"/>
      <c r="M317" s="4268"/>
      <c r="N317" s="4268"/>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31"/>
      <c r="D318" s="4232"/>
      <c r="E318" s="4232"/>
      <c r="F318" s="4232"/>
      <c r="G318" s="4232"/>
      <c r="H318" s="4232"/>
      <c r="I318" s="4232"/>
      <c r="J318" s="4232"/>
      <c r="K318" s="4232"/>
      <c r="L318" s="4232"/>
      <c r="M318" s="4232"/>
      <c r="N318" s="4233"/>
      <c r="O318" s="128" t="s">
        <v>4199</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8"/>
      <c r="D319" s="4159"/>
      <c r="E319" s="4159"/>
      <c r="F319" s="4159"/>
      <c r="G319" s="4159"/>
      <c r="H319" s="4159"/>
      <c r="I319" s="4159"/>
      <c r="J319" s="4159"/>
      <c r="K319" s="4159"/>
      <c r="L319" s="4159"/>
      <c r="M319" s="4159"/>
      <c r="N319" s="4160"/>
      <c r="O319" s="128" t="s">
        <v>4200</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9" t="s">
        <v>4025</v>
      </c>
      <c r="C320" s="4109"/>
      <c r="D320" s="4109"/>
      <c r="E320" s="4109"/>
      <c r="F320" s="4109"/>
      <c r="G320" s="4109"/>
      <c r="H320" s="4109"/>
      <c r="I320" s="4109"/>
      <c r="J320" s="4109"/>
      <c r="K320" s="4109"/>
      <c r="L320" s="4109"/>
      <c r="M320" s="4109"/>
      <c r="N320" s="4109"/>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3157</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6"/>
      <c r="B323" s="4107"/>
      <c r="C323" s="4107"/>
      <c r="D323" s="4107"/>
      <c r="E323" s="4107"/>
      <c r="F323" s="4107"/>
      <c r="G323" s="4107"/>
      <c r="H323" s="4107"/>
      <c r="I323" s="4107"/>
      <c r="J323" s="4107"/>
      <c r="K323" s="4107"/>
      <c r="L323" s="4107"/>
      <c r="M323" s="4107"/>
      <c r="N323" s="4107"/>
      <c r="O323" s="4107"/>
      <c r="P323" s="4107"/>
      <c r="Q323" s="4108"/>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0"/>
      <c r="B325" s="4111"/>
      <c r="C325" s="4111"/>
      <c r="D325" s="4111"/>
      <c r="E325" s="4111"/>
      <c r="F325" s="4111"/>
      <c r="G325" s="4111"/>
      <c r="H325" s="4111"/>
      <c r="I325" s="4111"/>
      <c r="J325" s="4111"/>
      <c r="K325" s="4111"/>
      <c r="L325" s="4111"/>
      <c r="M325" s="4111"/>
      <c r="N325" s="4111"/>
      <c r="O325" s="4111"/>
      <c r="P325" s="4111"/>
      <c r="Q325" s="4112"/>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3286</v>
      </c>
      <c r="B326" s="153" t="s">
        <v>4429</v>
      </c>
      <c r="C326" s="2"/>
      <c r="D326" s="874"/>
      <c r="E326" s="874"/>
      <c r="F326" s="874"/>
      <c r="G326" s="874"/>
      <c r="H326" s="874"/>
      <c r="N326" s="845" t="s">
        <v>4428</v>
      </c>
      <c r="O326" s="101" t="s">
        <v>1726</v>
      </c>
      <c r="P326" s="4127"/>
      <c r="Q326" s="4116"/>
      <c r="R326" s="847" t="s">
        <v>4415</v>
      </c>
    </row>
    <row r="327" spans="1:256" ht="11.65" customHeight="1">
      <c r="A327" s="40" t="s">
        <v>1836</v>
      </c>
      <c r="B327" s="44" t="s">
        <v>4424</v>
      </c>
      <c r="O327" s="128" t="s">
        <v>1836</v>
      </c>
      <c r="P327" s="175"/>
      <c r="Q327" s="418"/>
    </row>
    <row r="328" spans="1:256" ht="11.65" customHeight="1">
      <c r="A328" s="110" t="s">
        <v>1838</v>
      </c>
      <c r="B328" s="44" t="s">
        <v>4431</v>
      </c>
      <c r="O328" s="128" t="s">
        <v>1838</v>
      </c>
      <c r="P328" s="1668"/>
      <c r="Q328" s="675"/>
    </row>
    <row r="329" spans="1:256" ht="11.65" customHeight="1">
      <c r="A329" s="110" t="s">
        <v>697</v>
      </c>
      <c r="B329" s="44" t="s">
        <v>4432</v>
      </c>
      <c r="K329" s="231"/>
      <c r="M329" s="128" t="s">
        <v>697</v>
      </c>
      <c r="N329" s="4227" t="s">
        <v>1641</v>
      </c>
      <c r="O329" s="4228"/>
      <c r="P329" s="4229" t="s">
        <v>1641</v>
      </c>
      <c r="Q329" s="4230"/>
    </row>
    <row r="330" spans="1:256" ht="11.65" customHeight="1">
      <c r="A330" s="40" t="s">
        <v>1957</v>
      </c>
      <c r="B330" s="44" t="s">
        <v>4433</v>
      </c>
      <c r="O330" s="48" t="s">
        <v>1957</v>
      </c>
      <c r="P330" s="1337"/>
      <c r="Q330" s="1336"/>
    </row>
    <row r="331" spans="1:256" ht="11.65" customHeight="1">
      <c r="A331" s="110" t="s">
        <v>1609</v>
      </c>
      <c r="B331" s="44" t="s">
        <v>4434</v>
      </c>
      <c r="N331" s="128" t="s">
        <v>1609</v>
      </c>
      <c r="O331" s="4221" t="s">
        <v>2552</v>
      </c>
      <c r="P331" s="4222"/>
      <c r="Q331" s="4223"/>
    </row>
    <row r="332" spans="1:256" ht="11.65" customHeight="1">
      <c r="A332" s="110" t="s">
        <v>1610</v>
      </c>
      <c r="B332" s="67" t="s">
        <v>2164</v>
      </c>
      <c r="N332" s="128" t="s">
        <v>1610</v>
      </c>
      <c r="O332" s="4178" t="s">
        <v>2552</v>
      </c>
      <c r="P332" s="4179"/>
      <c r="Q332" s="4180"/>
    </row>
    <row r="333" spans="1:256" ht="11.25" customHeight="1">
      <c r="B333" s="109" t="s">
        <v>3157</v>
      </c>
      <c r="D333" s="109"/>
      <c r="E333" s="109"/>
      <c r="F333" s="109"/>
      <c r="G333" s="109"/>
      <c r="H333" s="33"/>
      <c r="I333" s="878"/>
      <c r="J333" s="878"/>
      <c r="K333" s="878"/>
      <c r="L333" s="674"/>
      <c r="M333" s="674"/>
      <c r="N333" s="674"/>
      <c r="O333" s="674"/>
      <c r="P333" s="674"/>
      <c r="Q333" s="674"/>
    </row>
    <row r="334" spans="1:256" ht="13.35" customHeight="1">
      <c r="A334" s="4106"/>
      <c r="B334" s="4107"/>
      <c r="C334" s="4107"/>
      <c r="D334" s="4107"/>
      <c r="E334" s="4107"/>
      <c r="F334" s="4107"/>
      <c r="G334" s="4107"/>
      <c r="H334" s="4107"/>
      <c r="I334" s="4107"/>
      <c r="J334" s="4107"/>
      <c r="K334" s="4107"/>
      <c r="L334" s="4107"/>
      <c r="M334" s="4107"/>
      <c r="N334" s="4107"/>
      <c r="O334" s="4107"/>
      <c r="P334" s="4107"/>
      <c r="Q334" s="4108"/>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0"/>
      <c r="B336" s="4111"/>
      <c r="C336" s="4111"/>
      <c r="D336" s="4111"/>
      <c r="E336" s="4111"/>
      <c r="F336" s="4111"/>
      <c r="G336" s="4111"/>
      <c r="H336" s="4111"/>
      <c r="I336" s="4111"/>
      <c r="J336" s="4111"/>
      <c r="K336" s="4111"/>
      <c r="L336" s="4111"/>
      <c r="M336" s="4111"/>
      <c r="N336" s="4111"/>
      <c r="O336" s="4111"/>
      <c r="P336" s="4111"/>
      <c r="Q336" s="4112"/>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3289</v>
      </c>
      <c r="B338" s="4" t="s">
        <v>4435</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61"/>
      <c r="Q338" s="4262"/>
    </row>
    <row r="339" spans="1:44" ht="14.1" customHeight="1">
      <c r="A339" s="2"/>
      <c r="B339" s="29" t="s">
        <v>4436</v>
      </c>
      <c r="C339" s="4"/>
      <c r="D339" s="4"/>
      <c r="E339" s="4"/>
      <c r="F339" s="4"/>
      <c r="G339" s="4"/>
      <c r="H339" s="874"/>
      <c r="I339" s="874"/>
      <c r="J339" s="874"/>
      <c r="K339" s="874"/>
      <c r="L339" s="874"/>
      <c r="M339" s="874"/>
      <c r="N339" s="395"/>
      <c r="P339" s="101"/>
      <c r="Q339" s="1826" t="str">
        <f>IF(OR(AND(P341="Agree",P344="Agree",P346="Agree"),AND(P341="Agree",P344="Agree"),AND(P344="Agree",P346="Agree"),AND(P341="Agree",P346="Agree")), "PLEASE CHOOSE NO MORE THAN ONE PRESERVATION SET-ASIDE!","")</f>
        <v/>
      </c>
    </row>
    <row r="340" spans="1:44" ht="14.1" customHeight="1">
      <c r="A340" s="2"/>
      <c r="B340" s="29" t="s">
        <v>4437</v>
      </c>
      <c r="C340" s="4"/>
      <c r="D340" s="4"/>
      <c r="E340" s="4"/>
      <c r="F340" s="4"/>
      <c r="G340" s="4"/>
      <c r="H340" s="874"/>
      <c r="I340" s="874"/>
      <c r="J340" s="874"/>
      <c r="K340" s="874"/>
      <c r="L340" s="874"/>
      <c r="M340" s="874"/>
      <c r="N340" s="395"/>
      <c r="O340" s="101"/>
      <c r="P340" s="372"/>
      <c r="Q340" s="417"/>
    </row>
    <row r="341" spans="1:44" ht="21.75" customHeight="1">
      <c r="A341" s="110" t="s">
        <v>1836</v>
      </c>
      <c r="B341" s="4109" t="s">
        <v>4580</v>
      </c>
      <c r="C341" s="4109"/>
      <c r="D341" s="4109"/>
      <c r="E341" s="4109"/>
      <c r="F341" s="4109"/>
      <c r="G341" s="4109"/>
      <c r="H341" s="4109"/>
      <c r="I341" s="4109"/>
      <c r="J341" s="4109"/>
      <c r="K341" s="4109"/>
      <c r="L341" s="4109"/>
      <c r="M341" s="4109"/>
      <c r="N341" s="4109"/>
      <c r="O341" s="128" t="s">
        <v>1836</v>
      </c>
      <c r="P341" s="1722"/>
      <c r="Q341" s="1723"/>
    </row>
    <row r="342" spans="1:44" s="35" customFormat="1" ht="12.75" customHeight="1">
      <c r="A342" s="40"/>
      <c r="B342" s="33" t="s">
        <v>1611</v>
      </c>
      <c r="C342" s="29" t="s">
        <v>4026</v>
      </c>
      <c r="D342" s="29"/>
      <c r="E342" s="29"/>
      <c r="F342" s="29"/>
      <c r="G342" s="29"/>
      <c r="H342" s="29"/>
      <c r="I342" s="29"/>
      <c r="J342" s="29"/>
      <c r="O342" s="48" t="s">
        <v>1389</v>
      </c>
      <c r="P342" s="1724"/>
      <c r="Q342" s="1725"/>
    </row>
    <row r="343" spans="1:44" s="115" customFormat="1">
      <c r="A343" s="110"/>
      <c r="B343" s="1161"/>
      <c r="C343" s="29" t="s">
        <v>1662</v>
      </c>
      <c r="D343" s="29"/>
      <c r="E343" s="1455" t="e">
        <f>#REF!</f>
        <v>#REF!</v>
      </c>
      <c r="F343" s="29" t="s">
        <v>3771</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9" t="s">
        <v>4581</v>
      </c>
      <c r="C344" s="4109"/>
      <c r="D344" s="4109"/>
      <c r="E344" s="4109"/>
      <c r="F344" s="4109"/>
      <c r="G344" s="4109"/>
      <c r="H344" s="4109"/>
      <c r="I344" s="4109"/>
      <c r="J344" s="4109"/>
      <c r="K344" s="4109"/>
      <c r="L344" s="4109"/>
      <c r="M344" s="4109"/>
      <c r="N344" s="4109"/>
      <c r="O344" s="128" t="s">
        <v>1838</v>
      </c>
      <c r="P344" s="892"/>
      <c r="Q344" s="893"/>
    </row>
    <row r="345" spans="1:44" s="115" customFormat="1">
      <c r="A345" s="110"/>
      <c r="B345" s="1161"/>
      <c r="C345" s="29" t="s">
        <v>1662</v>
      </c>
      <c r="D345" s="29"/>
      <c r="E345" s="1455" t="e">
        <f>#REF!</f>
        <v>#REF!</v>
      </c>
      <c r="F345" s="29" t="s">
        <v>4583</v>
      </c>
      <c r="H345" s="72"/>
      <c r="L345" s="1847"/>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9" t="s">
        <v>4582</v>
      </c>
      <c r="C346" s="4109"/>
      <c r="D346" s="4109"/>
      <c r="E346" s="4109"/>
      <c r="F346" s="4109"/>
      <c r="G346" s="4109"/>
      <c r="H346" s="4109"/>
      <c r="I346" s="4109"/>
      <c r="J346" s="4109"/>
      <c r="K346" s="4109"/>
      <c r="L346" s="4109"/>
      <c r="M346" s="4109"/>
      <c r="N346" s="4109"/>
      <c r="O346" s="128" t="s">
        <v>697</v>
      </c>
      <c r="P346" s="1722"/>
      <c r="Q346" s="1723"/>
    </row>
    <row r="347" spans="1:44" ht="14.1" customHeight="1">
      <c r="A347" s="23"/>
      <c r="B347" s="369" t="s">
        <v>1611</v>
      </c>
      <c r="C347" s="44" t="s">
        <v>4438</v>
      </c>
      <c r="D347" s="10"/>
      <c r="E347" s="10"/>
      <c r="F347" s="10"/>
      <c r="G347" s="10"/>
      <c r="H347" s="1720"/>
      <c r="I347" s="1720"/>
      <c r="J347" s="1720"/>
      <c r="K347" s="1720"/>
      <c r="L347" s="1720"/>
      <c r="M347" s="1720"/>
      <c r="N347" s="1721"/>
      <c r="O347" s="48" t="s">
        <v>3928</v>
      </c>
      <c r="P347" s="1726"/>
      <c r="Q347" s="1727"/>
    </row>
    <row r="348" spans="1:44" s="115" customFormat="1">
      <c r="A348" s="110"/>
      <c r="B348" s="1161"/>
      <c r="C348" s="29" t="s">
        <v>1662</v>
      </c>
      <c r="D348" s="29"/>
      <c r="E348" s="1455" t="e">
        <f>#REF!</f>
        <v>#REF!</v>
      </c>
      <c r="F348" s="29" t="s">
        <v>3771</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3157</v>
      </c>
      <c r="D349" s="109"/>
      <c r="E349" s="109"/>
      <c r="F349" s="109"/>
      <c r="G349" s="109"/>
      <c r="H349" s="33"/>
      <c r="I349" s="878"/>
      <c r="J349" s="878"/>
      <c r="K349" s="878"/>
      <c r="L349" s="674"/>
      <c r="M349" s="674"/>
      <c r="N349" s="674"/>
      <c r="O349" s="674"/>
      <c r="P349" s="674"/>
      <c r="Q349" s="674"/>
    </row>
    <row r="350" spans="1:44" ht="12" customHeight="1">
      <c r="A350" s="4106"/>
      <c r="B350" s="4107"/>
      <c r="C350" s="4107"/>
      <c r="D350" s="4107"/>
      <c r="E350" s="4107"/>
      <c r="F350" s="4107"/>
      <c r="G350" s="4107"/>
      <c r="H350" s="4107"/>
      <c r="I350" s="4107"/>
      <c r="J350" s="4107"/>
      <c r="K350" s="4107"/>
      <c r="L350" s="4107"/>
      <c r="M350" s="4107"/>
      <c r="N350" s="4107"/>
      <c r="O350" s="4107"/>
      <c r="P350" s="4107"/>
      <c r="Q350" s="4108"/>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0"/>
      <c r="B352" s="4111"/>
      <c r="C352" s="4111"/>
      <c r="D352" s="4111"/>
      <c r="E352" s="4111"/>
      <c r="F352" s="4111"/>
      <c r="G352" s="4111"/>
      <c r="H352" s="4111"/>
      <c r="I352" s="4111"/>
      <c r="J352" s="4111"/>
      <c r="K352" s="4111"/>
      <c r="L352" s="4111"/>
      <c r="M352" s="4111"/>
      <c r="N352" s="4111"/>
      <c r="O352" s="4111"/>
      <c r="P352" s="4111"/>
      <c r="Q352" s="4112"/>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3290</v>
      </c>
      <c r="B354" s="4" t="s">
        <v>3271</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5"/>
      <c r="Q354" s="4116"/>
    </row>
    <row r="355" spans="1:31" ht="10.5" customHeight="1">
      <c r="A355" s="40" t="s">
        <v>1836</v>
      </c>
      <c r="B355" s="29" t="s">
        <v>3272</v>
      </c>
      <c r="D355" s="118"/>
      <c r="E355" s="118"/>
      <c r="F355" s="118"/>
      <c r="G355" s="118"/>
      <c r="H355" s="48" t="s">
        <v>1836</v>
      </c>
      <c r="I355" s="4120"/>
      <c r="J355" s="4121"/>
      <c r="K355" s="4121"/>
      <c r="L355" s="4121"/>
      <c r="M355" s="4121"/>
      <c r="N355" s="4121"/>
      <c r="O355" s="4121"/>
      <c r="P355" s="4122"/>
      <c r="Q355" s="418"/>
    </row>
    <row r="356" spans="1:31" ht="10.5" customHeight="1">
      <c r="A356" s="110" t="s">
        <v>1838</v>
      </c>
      <c r="B356" s="29" t="s">
        <v>3273</v>
      </c>
      <c r="D356" s="118"/>
      <c r="E356" s="118"/>
      <c r="F356" s="118"/>
      <c r="G356" s="118"/>
      <c r="H356" s="128" t="s">
        <v>1838</v>
      </c>
      <c r="I356" s="4117"/>
      <c r="J356" s="4118"/>
      <c r="K356" s="4118"/>
      <c r="L356" s="4118"/>
      <c r="M356" s="4118"/>
      <c r="N356" s="4118"/>
      <c r="O356" s="4118"/>
      <c r="P356" s="4119"/>
      <c r="Q356" s="420"/>
    </row>
    <row r="357" spans="1:31" ht="21.75" customHeight="1">
      <c r="A357" s="110" t="s">
        <v>697</v>
      </c>
      <c r="B357" s="4266" t="s">
        <v>3264</v>
      </c>
      <c r="C357" s="4266"/>
      <c r="D357" s="4266"/>
      <c r="E357" s="4266"/>
      <c r="F357" s="4266"/>
      <c r="G357" s="4266"/>
      <c r="H357" s="4266"/>
      <c r="I357" s="4266"/>
      <c r="J357" s="4266"/>
      <c r="K357" s="4266"/>
      <c r="L357" s="4266"/>
      <c r="M357" s="4266"/>
      <c r="N357" s="4266"/>
      <c r="O357" s="128" t="s">
        <v>697</v>
      </c>
      <c r="P357" s="825"/>
      <c r="Q357" s="880"/>
    </row>
    <row r="358" spans="1:31" ht="21.75" customHeight="1">
      <c r="A358" s="110" t="s">
        <v>1957</v>
      </c>
      <c r="B358" s="4109" t="s">
        <v>3265</v>
      </c>
      <c r="C358" s="4109"/>
      <c r="D358" s="4109"/>
      <c r="E358" s="4109"/>
      <c r="F358" s="4109"/>
      <c r="G358" s="4109"/>
      <c r="H358" s="4109"/>
      <c r="I358" s="4109"/>
      <c r="J358" s="4109"/>
      <c r="K358" s="4109"/>
      <c r="L358" s="4109"/>
      <c r="M358" s="4109"/>
      <c r="N358" s="4109"/>
      <c r="O358" s="128" t="s">
        <v>1957</v>
      </c>
      <c r="P358" s="430"/>
      <c r="Q358" s="421"/>
    </row>
    <row r="359" spans="1:31" ht="10.5" customHeight="1">
      <c r="A359" s="110" t="s">
        <v>1609</v>
      </c>
      <c r="B359" s="29" t="s">
        <v>3266</v>
      </c>
      <c r="D359" s="29"/>
      <c r="E359" s="29"/>
      <c r="F359" s="29"/>
      <c r="G359" s="29"/>
      <c r="H359" s="29"/>
      <c r="I359" s="29"/>
      <c r="J359" s="29"/>
      <c r="K359" s="29"/>
      <c r="L359" s="29"/>
      <c r="M359" s="29"/>
      <c r="O359" s="128" t="s">
        <v>1609</v>
      </c>
      <c r="P359" s="299"/>
      <c r="Q359" s="419"/>
    </row>
    <row r="360" spans="1:31" s="102" customFormat="1" ht="21.75" customHeight="1">
      <c r="A360" s="110" t="s">
        <v>1610</v>
      </c>
      <c r="B360" s="4109" t="s">
        <v>3267</v>
      </c>
      <c r="C360" s="4109"/>
      <c r="D360" s="4109"/>
      <c r="E360" s="4109"/>
      <c r="F360" s="4109"/>
      <c r="G360" s="4109"/>
      <c r="H360" s="4109"/>
      <c r="I360" s="4109"/>
      <c r="J360" s="4109"/>
      <c r="K360" s="4109"/>
      <c r="L360" s="4109"/>
      <c r="M360" s="4109"/>
      <c r="N360" s="4109"/>
      <c r="O360" s="128" t="s">
        <v>1610</v>
      </c>
      <c r="P360" s="665"/>
      <c r="Q360" s="666"/>
    </row>
    <row r="361" spans="1:31" s="102" customFormat="1" ht="10.5" customHeight="1">
      <c r="A361" s="110" t="s">
        <v>1803</v>
      </c>
      <c r="B361" s="108" t="s">
        <v>3268</v>
      </c>
      <c r="D361" s="456"/>
      <c r="E361" s="456"/>
      <c r="F361" s="456"/>
      <c r="G361" s="456"/>
      <c r="H361" s="456"/>
      <c r="I361" s="456"/>
      <c r="J361" s="456"/>
      <c r="K361" s="456"/>
      <c r="L361" s="456"/>
      <c r="M361" s="456"/>
      <c r="N361" s="456"/>
      <c r="O361" s="128" t="s">
        <v>1803</v>
      </c>
      <c r="P361" s="881"/>
      <c r="Q361" s="880"/>
    </row>
    <row r="362" spans="1:31" s="102" customFormat="1" ht="10.5" customHeight="1">
      <c r="C362" s="371" t="s">
        <v>3748</v>
      </c>
      <c r="E362" s="874"/>
      <c r="F362" s="874"/>
      <c r="G362" s="874"/>
      <c r="H362" s="874"/>
      <c r="I362" s="874"/>
      <c r="J362" s="874"/>
      <c r="K362" s="874"/>
      <c r="L362" s="874"/>
      <c r="M362" s="874"/>
      <c r="N362" s="874"/>
      <c r="P362" s="883"/>
      <c r="Q362" s="882"/>
    </row>
    <row r="363" spans="1:31" ht="21.75" customHeight="1">
      <c r="A363" s="110" t="s">
        <v>2932</v>
      </c>
      <c r="B363" s="4109" t="s">
        <v>3269</v>
      </c>
      <c r="C363" s="4109"/>
      <c r="D363" s="4109"/>
      <c r="E363" s="4109"/>
      <c r="F363" s="4109"/>
      <c r="G363" s="4109"/>
      <c r="H363" s="4109"/>
      <c r="I363" s="4109"/>
      <c r="J363" s="4109"/>
      <c r="K363" s="4109"/>
      <c r="L363" s="4109"/>
      <c r="M363" s="4109"/>
      <c r="N363" s="4109"/>
      <c r="O363" s="128" t="s">
        <v>2932</v>
      </c>
      <c r="P363" s="881"/>
      <c r="Q363" s="880"/>
    </row>
    <row r="364" spans="1:31" ht="33" customHeight="1">
      <c r="A364" s="110" t="s">
        <v>572</v>
      </c>
      <c r="B364" s="4109" t="s">
        <v>3270</v>
      </c>
      <c r="C364" s="4109"/>
      <c r="D364" s="4109"/>
      <c r="E364" s="4109"/>
      <c r="F364" s="4109"/>
      <c r="G364" s="4109"/>
      <c r="H364" s="4109"/>
      <c r="I364" s="4109"/>
      <c r="J364" s="4109"/>
      <c r="K364" s="4109"/>
      <c r="L364" s="4109"/>
      <c r="M364" s="4109"/>
      <c r="N364" s="4109"/>
      <c r="O364" s="128" t="s">
        <v>572</v>
      </c>
      <c r="P364" s="883"/>
      <c r="Q364" s="882"/>
    </row>
    <row r="365" spans="1:31" ht="10.5" customHeight="1">
      <c r="B365" s="109" t="s">
        <v>3157</v>
      </c>
      <c r="D365" s="109"/>
      <c r="E365" s="109"/>
      <c r="F365" s="109"/>
      <c r="G365" s="109"/>
      <c r="H365" s="33"/>
      <c r="I365" s="878"/>
      <c r="J365" s="878"/>
      <c r="K365" s="878"/>
      <c r="L365" s="674"/>
      <c r="M365" s="674"/>
      <c r="N365" s="674"/>
      <c r="O365" s="674"/>
      <c r="P365" s="674"/>
      <c r="Q365" s="674"/>
    </row>
    <row r="366" spans="1:31" ht="31.5" customHeight="1">
      <c r="A366" s="4106"/>
      <c r="B366" s="4107"/>
      <c r="C366" s="4107"/>
      <c r="D366" s="4107"/>
      <c r="E366" s="4107"/>
      <c r="F366" s="4107"/>
      <c r="G366" s="4107"/>
      <c r="H366" s="4107"/>
      <c r="I366" s="4107"/>
      <c r="J366" s="4107"/>
      <c r="K366" s="4107"/>
      <c r="L366" s="4107"/>
      <c r="M366" s="4107"/>
      <c r="N366" s="4107"/>
      <c r="O366" s="4107"/>
      <c r="P366" s="4107"/>
      <c r="Q366" s="4108"/>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0"/>
      <c r="B368" s="4111"/>
      <c r="C368" s="4111"/>
      <c r="D368" s="4111"/>
      <c r="E368" s="4111"/>
      <c r="F368" s="4111"/>
      <c r="G368" s="4111"/>
      <c r="H368" s="4111"/>
      <c r="I368" s="4111"/>
      <c r="J368" s="4111"/>
      <c r="K368" s="4111"/>
      <c r="L368" s="4111"/>
      <c r="M368" s="4111"/>
      <c r="N368" s="4111"/>
      <c r="O368" s="4111"/>
      <c r="P368" s="4111"/>
      <c r="Q368" s="4112"/>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3291</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7"/>
      <c r="Q371" s="4116"/>
    </row>
    <row r="372" spans="1:31" ht="11.65" customHeight="1">
      <c r="A372" s="40" t="s">
        <v>1836</v>
      </c>
      <c r="B372" s="32" t="s">
        <v>969</v>
      </c>
      <c r="E372" s="4241"/>
      <c r="F372" s="4242"/>
      <c r="G372" s="4242"/>
      <c r="H372" s="4242"/>
      <c r="I372" s="4243"/>
      <c r="J372" s="4244" t="s">
        <v>2430</v>
      </c>
      <c r="K372" s="4245"/>
      <c r="L372" s="4246"/>
      <c r="M372" s="4241"/>
      <c r="N372" s="4242"/>
      <c r="O372" s="4242"/>
      <c r="P372" s="4242"/>
      <c r="Q372" s="4243"/>
    </row>
    <row r="373" spans="1:31" s="102" customFormat="1" ht="22.5" customHeight="1">
      <c r="A373" s="110" t="s">
        <v>1838</v>
      </c>
      <c r="B373" s="4109" t="s">
        <v>2997</v>
      </c>
      <c r="C373" s="4109"/>
      <c r="D373" s="4109"/>
      <c r="E373" s="4109"/>
      <c r="F373" s="4109"/>
      <c r="G373" s="4109"/>
      <c r="H373" s="4109"/>
      <c r="I373" s="4109"/>
      <c r="J373" s="4109"/>
      <c r="K373" s="4109"/>
      <c r="L373" s="4109"/>
      <c r="M373" s="4109"/>
      <c r="N373" s="4109"/>
      <c r="O373" s="128" t="s">
        <v>1838</v>
      </c>
      <c r="P373" s="430"/>
      <c r="Q373" s="421"/>
    </row>
    <row r="374" spans="1:31">
      <c r="A374" s="110" t="s">
        <v>697</v>
      </c>
      <c r="B374" s="44" t="s">
        <v>3117</v>
      </c>
      <c r="G374" s="876"/>
      <c r="H374" s="876"/>
      <c r="I374" s="876"/>
      <c r="J374" s="33" t="s">
        <v>3118</v>
      </c>
      <c r="L374" s="876"/>
      <c r="M374" s="4247" t="e">
        <f>#REF!</f>
        <v>#REF!</v>
      </c>
      <c r="N374" s="4248"/>
      <c r="O374" s="128" t="s">
        <v>697</v>
      </c>
      <c r="P374" s="176"/>
      <c r="Q374" s="420"/>
    </row>
    <row r="375" spans="1:31" ht="11.25" customHeight="1">
      <c r="B375" s="109" t="s">
        <v>3157</v>
      </c>
      <c r="D375" s="109"/>
      <c r="E375" s="109"/>
      <c r="F375" s="109"/>
      <c r="G375" s="109"/>
      <c r="H375" s="33"/>
      <c r="I375" s="878"/>
      <c r="J375" s="878"/>
      <c r="K375" s="878"/>
      <c r="L375" s="674"/>
      <c r="M375" s="674"/>
      <c r="N375" s="674"/>
      <c r="O375" s="674"/>
      <c r="P375" s="674"/>
      <c r="Q375" s="674"/>
    </row>
    <row r="376" spans="1:31" ht="11.65" customHeight="1">
      <c r="A376" s="4106"/>
      <c r="B376" s="4107"/>
      <c r="C376" s="4107"/>
      <c r="D376" s="4107"/>
      <c r="E376" s="4107"/>
      <c r="F376" s="4107"/>
      <c r="G376" s="4107"/>
      <c r="H376" s="4107"/>
      <c r="I376" s="4107"/>
      <c r="J376" s="4107"/>
      <c r="K376" s="4107"/>
      <c r="L376" s="4107"/>
      <c r="M376" s="4107"/>
      <c r="N376" s="4107"/>
      <c r="O376" s="4107"/>
      <c r="P376" s="4107"/>
      <c r="Q376" s="4108"/>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0"/>
      <c r="B378" s="4111"/>
      <c r="C378" s="4111"/>
      <c r="D378" s="4111"/>
      <c r="E378" s="4111"/>
      <c r="F378" s="4111"/>
      <c r="G378" s="4111"/>
      <c r="H378" s="4111"/>
      <c r="I378" s="4111"/>
      <c r="J378" s="4111"/>
      <c r="K378" s="4111"/>
      <c r="L378" s="4111"/>
      <c r="M378" s="4111"/>
      <c r="N378" s="4111"/>
      <c r="O378" s="4111"/>
      <c r="P378" s="4111"/>
      <c r="Q378" s="4112"/>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3292</v>
      </c>
      <c r="B380" s="4" t="s">
        <v>2428</v>
      </c>
      <c r="C380" s="4"/>
      <c r="D380" s="4"/>
      <c r="E380" s="874"/>
      <c r="G380" s="108" t="s">
        <v>654</v>
      </c>
      <c r="H380" s="874"/>
      <c r="I380" s="874"/>
      <c r="J380" s="874"/>
      <c r="K380" s="874"/>
      <c r="L380" s="874"/>
      <c r="M380" s="874"/>
      <c r="O380" s="101" t="s">
        <v>1726</v>
      </c>
      <c r="P380" s="4127"/>
      <c r="Q380" s="4237"/>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3903</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5"/>
      <c r="I385" s="4286"/>
      <c r="J385" s="4286"/>
      <c r="K385" s="4286"/>
      <c r="L385" s="4286"/>
      <c r="M385" s="4286"/>
      <c r="N385" s="4286"/>
      <c r="O385" s="4287"/>
      <c r="P385" s="176"/>
      <c r="Q385" s="420"/>
    </row>
    <row r="386" spans="1:31" ht="11.25" customHeight="1">
      <c r="B386" s="109" t="s">
        <v>3157</v>
      </c>
      <c r="D386" s="109"/>
      <c r="E386" s="109"/>
      <c r="F386" s="109"/>
      <c r="G386" s="109"/>
      <c r="H386" s="33"/>
      <c r="I386" s="878"/>
      <c r="J386" s="878"/>
      <c r="K386" s="878"/>
      <c r="L386" s="674"/>
      <c r="M386" s="674"/>
      <c r="N386" s="674"/>
      <c r="O386" s="674"/>
      <c r="P386" s="674"/>
      <c r="Q386" s="674"/>
    </row>
    <row r="387" spans="1:31" ht="11.65" customHeight="1">
      <c r="A387" s="4106"/>
      <c r="B387" s="4107"/>
      <c r="C387" s="4107"/>
      <c r="D387" s="4107"/>
      <c r="E387" s="4107"/>
      <c r="F387" s="4107"/>
      <c r="G387" s="4107"/>
      <c r="H387" s="4107"/>
      <c r="I387" s="4107"/>
      <c r="J387" s="4107"/>
      <c r="K387" s="4107"/>
      <c r="L387" s="4107"/>
      <c r="M387" s="4107"/>
      <c r="N387" s="4107"/>
      <c r="O387" s="4107"/>
      <c r="P387" s="4107"/>
      <c r="Q387" s="4108"/>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0"/>
      <c r="B389" s="4111"/>
      <c r="C389" s="4111"/>
      <c r="D389" s="4111"/>
      <c r="E389" s="4111"/>
      <c r="F389" s="4111"/>
      <c r="G389" s="4111"/>
      <c r="H389" s="4111"/>
      <c r="I389" s="4111"/>
      <c r="J389" s="4111"/>
      <c r="K389" s="4111"/>
      <c r="L389" s="4111"/>
      <c r="M389" s="4111"/>
      <c r="N389" s="4111"/>
      <c r="O389" s="4111"/>
      <c r="P389" s="4111"/>
      <c r="Q389" s="4112"/>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3293</v>
      </c>
      <c r="B391" s="4" t="s">
        <v>3815</v>
      </c>
      <c r="C391" s="4"/>
      <c r="D391" s="4"/>
      <c r="E391" s="4"/>
      <c r="F391" s="4"/>
      <c r="G391" s="4"/>
      <c r="H391" s="874"/>
      <c r="I391" s="874"/>
      <c r="J391" s="874"/>
      <c r="K391" s="874"/>
      <c r="L391" s="874"/>
      <c r="M391" s="874"/>
      <c r="O391" s="101" t="s">
        <v>1726</v>
      </c>
      <c r="P391" s="4261"/>
      <c r="Q391" s="4262"/>
    </row>
    <row r="392" spans="1:31" ht="12" customHeight="1">
      <c r="B392" s="44" t="s">
        <v>4149</v>
      </c>
      <c r="O392" s="49"/>
      <c r="P392" s="372"/>
      <c r="Q392" s="417"/>
    </row>
    <row r="393" spans="1:31" ht="12" customHeight="1">
      <c r="A393" s="40" t="s">
        <v>1836</v>
      </c>
      <c r="B393" s="66" t="s">
        <v>3814</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6"/>
      <c r="Q394" s="1667"/>
    </row>
    <row r="395" spans="1:31" ht="12" customHeight="1">
      <c r="B395" s="29"/>
      <c r="C395" s="29" t="s">
        <v>3904</v>
      </c>
      <c r="D395" s="44" t="s">
        <v>3905</v>
      </c>
      <c r="E395" s="35"/>
      <c r="F395" s="35"/>
      <c r="G395" s="35"/>
      <c r="H395" s="35"/>
      <c r="I395" s="35"/>
      <c r="J395" s="35"/>
      <c r="K395" s="35"/>
      <c r="L395" s="35"/>
      <c r="M395" s="35"/>
      <c r="N395" s="35"/>
      <c r="O395" s="48" t="s">
        <v>3904</v>
      </c>
      <c r="P395" s="4209"/>
      <c r="Q395" s="4207"/>
    </row>
    <row r="396" spans="1:31" ht="12" customHeight="1">
      <c r="A396" s="40"/>
      <c r="D396" s="29" t="s">
        <v>4399</v>
      </c>
      <c r="E396" s="29"/>
      <c r="F396" s="29"/>
      <c r="G396" s="29"/>
      <c r="H396" s="29"/>
      <c r="I396" s="29"/>
      <c r="J396" s="29"/>
      <c r="K396" s="29"/>
      <c r="L396" s="29"/>
      <c r="M396" s="29"/>
      <c r="N396" s="35"/>
      <c r="O396" s="1335"/>
      <c r="P396" s="4210"/>
      <c r="Q396" s="4208"/>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3818</v>
      </c>
      <c r="D398" s="29" t="s">
        <v>3055</v>
      </c>
      <c r="E398" s="29"/>
      <c r="F398" s="29"/>
      <c r="G398" s="29"/>
      <c r="H398" s="29"/>
      <c r="I398" s="29"/>
      <c r="J398" s="29"/>
      <c r="K398" s="29"/>
      <c r="L398" s="29"/>
      <c r="M398" s="29"/>
      <c r="N398" s="72"/>
      <c r="O398" s="48" t="s">
        <v>2236</v>
      </c>
      <c r="P398" s="1668"/>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9" t="s">
        <v>4052</v>
      </c>
      <c r="D400" s="4109"/>
      <c r="E400" s="4109"/>
      <c r="F400" s="4109"/>
      <c r="G400" s="29" t="s">
        <v>3819</v>
      </c>
      <c r="J400" s="705"/>
      <c r="K400" s="425"/>
      <c r="M400" s="29" t="s">
        <v>4123</v>
      </c>
      <c r="P400" s="1669"/>
      <c r="Q400" s="1670"/>
    </row>
    <row r="401" spans="1:44" ht="12" customHeight="1">
      <c r="A401" s="40"/>
      <c r="C401" s="4109"/>
      <c r="D401" s="4109"/>
      <c r="E401" s="4109"/>
      <c r="F401" s="4109"/>
      <c r="G401" s="29" t="s">
        <v>4122</v>
      </c>
      <c r="J401" s="706"/>
      <c r="K401" s="426"/>
      <c r="M401" s="29" t="s">
        <v>4124</v>
      </c>
      <c r="P401" s="706"/>
      <c r="Q401" s="426"/>
    </row>
    <row r="402" spans="1:44" ht="8.25" customHeight="1">
      <c r="A402" s="40"/>
      <c r="C402" s="4109"/>
      <c r="D402" s="4109"/>
      <c r="E402" s="4109"/>
      <c r="F402" s="4109"/>
      <c r="J402" s="1448"/>
      <c r="L402" s="33"/>
      <c r="M402" s="35"/>
      <c r="N402" s="48"/>
    </row>
    <row r="403" spans="1:44" s="72" customFormat="1" ht="12.75" customHeight="1">
      <c r="A403" s="107"/>
      <c r="B403" s="153"/>
      <c r="D403" s="879"/>
      <c r="E403" s="879"/>
      <c r="F403" s="879"/>
      <c r="G403" s="879"/>
      <c r="H403" s="879"/>
      <c r="I403" s="4168" t="s">
        <v>4079</v>
      </c>
      <c r="J403" s="4168" t="s">
        <v>4080</v>
      </c>
      <c r="K403" s="4168" t="s">
        <v>4082</v>
      </c>
      <c r="L403" s="4168"/>
      <c r="M403" s="4168"/>
      <c r="N403" s="4249" t="s">
        <v>4081</v>
      </c>
      <c r="O403" s="48"/>
      <c r="P403" s="4101" t="s">
        <v>4592</v>
      </c>
      <c r="Q403" s="4101"/>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9"/>
      <c r="J404" s="4168"/>
      <c r="K404" s="4168"/>
      <c r="L404" s="4168"/>
      <c r="M404" s="4168"/>
      <c r="N404" s="4250"/>
      <c r="O404" s="48"/>
      <c r="P404" s="4102"/>
      <c r="Q404" s="4102"/>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9" t="s">
        <v>4193</v>
      </c>
      <c r="D405" s="4109"/>
      <c r="E405" s="4109"/>
      <c r="F405" s="4109"/>
      <c r="G405" s="4109"/>
      <c r="H405" s="4109"/>
      <c r="I405" s="364">
        <f>K290</f>
        <v>0</v>
      </c>
      <c r="J405" s="1671"/>
      <c r="K405" s="4251"/>
      <c r="L405" s="4251"/>
      <c r="M405" s="4252"/>
      <c r="N405" s="1502">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9"/>
      <c r="D406" s="4109"/>
      <c r="E406" s="4109"/>
      <c r="F406" s="4109"/>
      <c r="G406" s="4109"/>
      <c r="H406" s="4109"/>
      <c r="I406" s="248"/>
      <c r="J406" s="1672"/>
      <c r="K406" s="4253"/>
      <c r="L406" s="4253"/>
      <c r="M406" s="4254"/>
      <c r="N406" s="1502">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3"/>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4083</v>
      </c>
      <c r="E408" s="108"/>
      <c r="F408" s="108"/>
      <c r="G408" s="108"/>
      <c r="H408" s="108"/>
      <c r="I408" s="364">
        <f>K291</f>
        <v>0</v>
      </c>
      <c r="J408" s="1671"/>
      <c r="K408" s="4251"/>
      <c r="L408" s="4251"/>
      <c r="M408" s="4252"/>
      <c r="N408" s="1502">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2"/>
      <c r="K409" s="4253"/>
      <c r="L409" s="4253"/>
      <c r="M409" s="4254"/>
      <c r="N409" s="1502">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3"/>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9" t="s">
        <v>4194</v>
      </c>
      <c r="D411" s="4109"/>
      <c r="E411" s="4109"/>
      <c r="F411" s="4109"/>
      <c r="G411" s="4109"/>
      <c r="H411" s="4109"/>
      <c r="I411" s="364">
        <f>K293</f>
        <v>0</v>
      </c>
      <c r="J411" s="1671"/>
      <c r="K411" s="4251"/>
      <c r="L411" s="4251"/>
      <c r="M411" s="4252"/>
      <c r="N411" s="1502">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9"/>
      <c r="D412" s="4109"/>
      <c r="E412" s="4109"/>
      <c r="F412" s="4109"/>
      <c r="G412" s="4109"/>
      <c r="H412" s="4109"/>
      <c r="J412" s="1672"/>
      <c r="K412" s="4253"/>
      <c r="L412" s="4253"/>
      <c r="M412" s="4254"/>
      <c r="N412" s="1502">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3712</v>
      </c>
      <c r="E414" s="33"/>
      <c r="F414" s="33"/>
      <c r="G414" s="33"/>
      <c r="J414" s="35"/>
      <c r="K414" s="33"/>
      <c r="L414" s="33"/>
      <c r="M414" s="35"/>
      <c r="N414" s="48"/>
      <c r="P414" s="48"/>
      <c r="Q414" s="48"/>
    </row>
    <row r="415" spans="1:44" ht="12" customHeight="1">
      <c r="A415" s="40"/>
      <c r="B415" s="44"/>
      <c r="C415" s="33" t="s">
        <v>4126</v>
      </c>
      <c r="D415" s="115"/>
      <c r="E415" s="33"/>
      <c r="F415" s="33"/>
      <c r="L415" s="33"/>
      <c r="M415" s="33"/>
      <c r="O415" s="48" t="s">
        <v>2234</v>
      </c>
      <c r="P415" s="372" t="s">
        <v>1641</v>
      </c>
      <c r="Q415" s="417" t="s">
        <v>1641</v>
      </c>
    </row>
    <row r="416" spans="1:44" ht="12" customHeight="1">
      <c r="A416" s="35"/>
      <c r="B416" s="115"/>
      <c r="D416" s="4284" t="s">
        <v>4127</v>
      </c>
      <c r="E416" s="351" t="s">
        <v>2257</v>
      </c>
      <c r="F416" s="44" t="s">
        <v>3205</v>
      </c>
      <c r="G416" s="4263"/>
      <c r="H416" s="4264"/>
      <c r="I416" s="4264"/>
      <c r="J416" s="4264"/>
      <c r="K416" s="4265"/>
      <c r="L416" s="351"/>
    </row>
    <row r="417" spans="1:31" ht="12" customHeight="1">
      <c r="B417" s="115"/>
      <c r="D417" s="4284"/>
      <c r="E417" s="351" t="s">
        <v>3816</v>
      </c>
      <c r="F417" s="44" t="s">
        <v>3817</v>
      </c>
      <c r="G417" s="4238" t="s">
        <v>3120</v>
      </c>
      <c r="H417" s="4239"/>
      <c r="I417" s="4240"/>
      <c r="J417" s="44" t="s">
        <v>3679</v>
      </c>
      <c r="K417" s="115"/>
      <c r="M417" s="4263"/>
      <c r="N417" s="4264"/>
      <c r="O417" s="4264"/>
      <c r="P417" s="4264"/>
      <c r="Q417" s="4265"/>
    </row>
    <row r="418" spans="1:31" ht="12" customHeight="1">
      <c r="A418" s="35"/>
      <c r="B418" s="115"/>
      <c r="C418" s="44" t="s">
        <v>4125</v>
      </c>
      <c r="D418" s="115"/>
      <c r="E418" s="33"/>
      <c r="F418" s="33"/>
      <c r="G418" s="33"/>
      <c r="H418" s="33"/>
      <c r="I418" s="33"/>
      <c r="J418" s="33"/>
      <c r="K418" s="33"/>
      <c r="L418" s="33"/>
      <c r="M418" s="33"/>
      <c r="N418" s="33"/>
      <c r="O418" s="33"/>
      <c r="P418" s="33"/>
      <c r="Q418" s="33"/>
    </row>
    <row r="419" spans="1:31" ht="44.65" customHeight="1">
      <c r="B419" s="4255"/>
      <c r="C419" s="4256"/>
      <c r="D419" s="4256"/>
      <c r="E419" s="4256"/>
      <c r="F419" s="4256"/>
      <c r="G419" s="4256"/>
      <c r="H419" s="4256"/>
      <c r="I419" s="4256"/>
      <c r="J419" s="4256"/>
      <c r="K419" s="4256"/>
      <c r="L419" s="4256"/>
      <c r="M419" s="4256"/>
      <c r="N419" s="4256"/>
      <c r="O419" s="4256"/>
      <c r="P419" s="4256"/>
      <c r="Q419" s="4257"/>
      <c r="R419" s="353" t="s">
        <v>3678</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3" t="s">
        <v>3906</v>
      </c>
      <c r="C421" s="4109"/>
      <c r="D421" s="4109"/>
      <c r="E421" s="4109"/>
      <c r="F421" s="4109"/>
      <c r="G421" s="4109"/>
      <c r="H421" s="4109"/>
      <c r="I421" s="4109"/>
      <c r="J421" s="4109"/>
      <c r="K421" s="4109"/>
      <c r="L421" s="4109"/>
      <c r="M421" s="4109"/>
      <c r="N421" s="4109"/>
    </row>
    <row r="422" spans="1:31" s="115" customFormat="1" ht="45" customHeight="1">
      <c r="B422" s="4109" t="s">
        <v>4439</v>
      </c>
      <c r="C422" s="4109"/>
      <c r="D422" s="4109"/>
      <c r="E422" s="4109"/>
      <c r="F422" s="4109"/>
      <c r="G422" s="4109"/>
      <c r="H422" s="4109"/>
      <c r="I422" s="4109"/>
      <c r="J422" s="4109"/>
      <c r="K422" s="4109"/>
      <c r="L422" s="4109"/>
      <c r="M422" s="4109"/>
      <c r="N422" s="4109"/>
      <c r="O422" s="128" t="s">
        <v>1838</v>
      </c>
      <c r="P422" s="892"/>
      <c r="Q422" s="893"/>
    </row>
    <row r="423" spans="1:31" ht="12" customHeight="1">
      <c r="B423" s="109" t="s">
        <v>3157</v>
      </c>
      <c r="D423" s="109"/>
      <c r="E423" s="109"/>
      <c r="F423" s="109"/>
      <c r="G423" s="109"/>
      <c r="H423" s="33"/>
      <c r="I423" s="878"/>
      <c r="J423" s="878"/>
      <c r="K423" s="878"/>
    </row>
    <row r="424" spans="1:31" ht="33.6" customHeight="1">
      <c r="A424" s="4106"/>
      <c r="B424" s="4107"/>
      <c r="C424" s="4107"/>
      <c r="D424" s="4107"/>
      <c r="E424" s="4107"/>
      <c r="F424" s="4107"/>
      <c r="G424" s="4107"/>
      <c r="H424" s="4107"/>
      <c r="I424" s="4107"/>
      <c r="J424" s="4107"/>
      <c r="K424" s="4107"/>
      <c r="L424" s="4107"/>
      <c r="M424" s="4107"/>
      <c r="N424" s="4107"/>
      <c r="O424" s="4107"/>
      <c r="P424" s="4107"/>
      <c r="Q424" s="4108"/>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0"/>
      <c r="B426" s="4111"/>
      <c r="C426" s="4111"/>
      <c r="D426" s="4111"/>
      <c r="E426" s="4111"/>
      <c r="F426" s="4111"/>
      <c r="G426" s="4111"/>
      <c r="H426" s="4111"/>
      <c r="I426" s="4111"/>
      <c r="J426" s="4111"/>
      <c r="K426" s="4111"/>
      <c r="L426" s="4111"/>
      <c r="M426" s="4111"/>
      <c r="N426" s="4111"/>
      <c r="O426" s="4111"/>
      <c r="P426" s="4111"/>
      <c r="Q426" s="4112"/>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3294</v>
      </c>
      <c r="B428" s="4" t="s">
        <v>2501</v>
      </c>
      <c r="C428" s="4"/>
      <c r="D428" s="66"/>
      <c r="E428" s="874"/>
      <c r="F428" s="874"/>
      <c r="G428" s="874"/>
      <c r="H428" s="874"/>
      <c r="O428" s="101" t="s">
        <v>1726</v>
      </c>
      <c r="P428" s="4127"/>
      <c r="Q428" s="4116"/>
    </row>
    <row r="429" spans="1:31" ht="14.1" customHeight="1">
      <c r="B429" s="66" t="s">
        <v>3774</v>
      </c>
      <c r="C429" s="4"/>
      <c r="D429" s="66"/>
      <c r="E429" s="874"/>
      <c r="F429" s="874"/>
      <c r="G429" s="874"/>
      <c r="H429" s="874"/>
    </row>
    <row r="430" spans="1:31" s="102" customFormat="1" ht="21.75" customHeight="1">
      <c r="A430" s="110" t="s">
        <v>1836</v>
      </c>
      <c r="B430" s="4109" t="s">
        <v>3228</v>
      </c>
      <c r="C430" s="4109"/>
      <c r="D430" s="4109"/>
      <c r="E430" s="4109"/>
      <c r="F430" s="4109"/>
      <c r="G430" s="4109"/>
      <c r="H430" s="4109"/>
      <c r="I430" s="4109"/>
      <c r="J430" s="4109"/>
      <c r="K430" s="4109"/>
      <c r="L430" s="4109"/>
      <c r="M430" s="4109"/>
      <c r="N430" s="4109"/>
      <c r="O430" s="128" t="s">
        <v>1836</v>
      </c>
      <c r="P430" s="881"/>
      <c r="Q430" s="880"/>
    </row>
    <row r="431" spans="1:31" s="102" customFormat="1" ht="22.5" customHeight="1">
      <c r="A431" s="110" t="s">
        <v>1838</v>
      </c>
      <c r="B431" s="4109" t="s">
        <v>3227</v>
      </c>
      <c r="C431" s="4109"/>
      <c r="D431" s="4109"/>
      <c r="E431" s="4109"/>
      <c r="F431" s="4109"/>
      <c r="G431" s="4109"/>
      <c r="H431" s="4109"/>
      <c r="I431" s="4109"/>
      <c r="J431" s="4109"/>
      <c r="K431" s="4109"/>
      <c r="L431" s="4109"/>
      <c r="M431" s="4109"/>
      <c r="N431" s="4109"/>
      <c r="O431" s="128" t="s">
        <v>1838</v>
      </c>
      <c r="P431" s="430"/>
      <c r="Q431" s="421"/>
    </row>
    <row r="432" spans="1:31" s="102" customFormat="1" ht="22.5" customHeight="1">
      <c r="B432" s="1161" t="s">
        <v>1611</v>
      </c>
      <c r="C432" s="4109" t="s">
        <v>3744</v>
      </c>
      <c r="D432" s="4109"/>
      <c r="E432" s="4109"/>
      <c r="F432" s="4109"/>
      <c r="G432" s="4109"/>
      <c r="H432" s="4109"/>
      <c r="I432" s="4109"/>
      <c r="J432" s="4109"/>
      <c r="K432" s="4109"/>
      <c r="L432" s="4109"/>
      <c r="M432" s="4109"/>
      <c r="N432" s="4109"/>
      <c r="O432" s="128" t="s">
        <v>1611</v>
      </c>
      <c r="P432" s="430"/>
      <c r="Q432" s="421"/>
    </row>
    <row r="433" spans="1:31" s="35" customFormat="1" ht="12" customHeight="1">
      <c r="B433" s="1161" t="s">
        <v>1612</v>
      </c>
      <c r="C433" s="29" t="s">
        <v>3745</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9" t="s">
        <v>3746</v>
      </c>
      <c r="D434" s="4109"/>
      <c r="E434" s="4109"/>
      <c r="F434" s="4109"/>
      <c r="G434" s="4109"/>
      <c r="H434" s="4109"/>
      <c r="I434" s="4109"/>
      <c r="J434" s="4109"/>
      <c r="K434" s="4109"/>
      <c r="L434" s="4109"/>
      <c r="M434" s="4109"/>
      <c r="N434" s="4109"/>
      <c r="O434" s="128" t="s">
        <v>1613</v>
      </c>
      <c r="P434" s="430"/>
      <c r="Q434" s="421"/>
    </row>
    <row r="435" spans="1:31" s="102" customFormat="1" ht="22.5" customHeight="1">
      <c r="B435" s="371" t="s">
        <v>2176</v>
      </c>
      <c r="C435" s="4109" t="s">
        <v>3747</v>
      </c>
      <c r="D435" s="4109"/>
      <c r="E435" s="4109"/>
      <c r="F435" s="4109"/>
      <c r="G435" s="4109"/>
      <c r="H435" s="4109"/>
      <c r="I435" s="4109"/>
      <c r="J435" s="4109"/>
      <c r="K435" s="4109"/>
      <c r="L435" s="4109"/>
      <c r="M435" s="4109"/>
      <c r="N435" s="4109"/>
      <c r="O435" s="128" t="s">
        <v>2176</v>
      </c>
      <c r="P435" s="430"/>
      <c r="Q435" s="421"/>
    </row>
    <row r="436" spans="1:31" s="102" customFormat="1" ht="22.5" customHeight="1">
      <c r="A436" s="110" t="s">
        <v>697</v>
      </c>
      <c r="B436" s="4109" t="s">
        <v>3229</v>
      </c>
      <c r="C436" s="4109"/>
      <c r="D436" s="4109"/>
      <c r="E436" s="4109"/>
      <c r="F436" s="4109"/>
      <c r="G436" s="4109"/>
      <c r="H436" s="4109"/>
      <c r="I436" s="4109"/>
      <c r="J436" s="4109"/>
      <c r="K436" s="4109"/>
      <c r="L436" s="4109"/>
      <c r="M436" s="4109"/>
      <c r="N436" s="4109"/>
      <c r="O436" s="128" t="s">
        <v>697</v>
      </c>
      <c r="P436" s="430"/>
      <c r="Q436" s="421"/>
    </row>
    <row r="437" spans="1:31" s="102" customFormat="1" ht="22.5" customHeight="1">
      <c r="A437" s="110" t="s">
        <v>1957</v>
      </c>
      <c r="B437" s="4109" t="s">
        <v>3794</v>
      </c>
      <c r="C437" s="4109"/>
      <c r="D437" s="4109"/>
      <c r="E437" s="4109"/>
      <c r="F437" s="4109"/>
      <c r="G437" s="4109"/>
      <c r="H437" s="4109"/>
      <c r="I437" s="4109"/>
      <c r="J437" s="4109"/>
      <c r="K437" s="4109"/>
      <c r="L437" s="4109"/>
      <c r="M437" s="4109"/>
      <c r="N437" s="4109"/>
      <c r="O437" s="128" t="s">
        <v>1957</v>
      </c>
      <c r="P437" s="430"/>
      <c r="Q437" s="421"/>
    </row>
    <row r="438" spans="1:31" s="102" customFormat="1" ht="21.75" customHeight="1">
      <c r="A438" s="110" t="s">
        <v>1609</v>
      </c>
      <c r="B438" s="4109" t="s">
        <v>3795</v>
      </c>
      <c r="C438" s="4109"/>
      <c r="D438" s="4109"/>
      <c r="E438" s="4109"/>
      <c r="F438" s="4109"/>
      <c r="G438" s="4109"/>
      <c r="H438" s="4109"/>
      <c r="I438" s="4109"/>
      <c r="J438" s="4109"/>
      <c r="K438" s="4109"/>
      <c r="L438" s="4109"/>
      <c r="M438" s="4109"/>
      <c r="N438" s="4109"/>
      <c r="O438" s="128" t="s">
        <v>1609</v>
      </c>
      <c r="P438" s="430"/>
      <c r="Q438" s="421"/>
    </row>
    <row r="439" spans="1:31" s="333" customFormat="1" ht="21.75" customHeight="1">
      <c r="A439" s="110" t="s">
        <v>1610</v>
      </c>
      <c r="B439" s="4109" t="s">
        <v>3828</v>
      </c>
      <c r="C439" s="4109"/>
      <c r="D439" s="4109"/>
      <c r="E439" s="4109"/>
      <c r="F439" s="4109"/>
      <c r="G439" s="4109"/>
      <c r="H439" s="4109"/>
      <c r="I439" s="4109"/>
      <c r="J439" s="4109"/>
      <c r="K439" s="4109"/>
      <c r="L439" s="4109"/>
      <c r="M439" s="4109"/>
      <c r="N439" s="4109"/>
      <c r="O439" s="128" t="s">
        <v>1610</v>
      </c>
      <c r="P439" s="883"/>
      <c r="Q439" s="882"/>
    </row>
    <row r="440" spans="1:31" ht="11.25" customHeight="1">
      <c r="B440" s="109" t="s">
        <v>3157</v>
      </c>
      <c r="D440" s="109"/>
      <c r="E440" s="109"/>
      <c r="F440" s="109"/>
      <c r="G440" s="109"/>
      <c r="H440" s="33"/>
      <c r="I440" s="878"/>
      <c r="J440" s="878"/>
      <c r="K440" s="878"/>
      <c r="L440" s="674"/>
      <c r="M440" s="674"/>
      <c r="N440" s="674"/>
      <c r="O440" s="674"/>
      <c r="P440" s="674"/>
      <c r="Q440" s="674"/>
    </row>
    <row r="441" spans="1:31" ht="12.75" customHeight="1">
      <c r="A441" s="4106"/>
      <c r="B441" s="4107"/>
      <c r="C441" s="4107"/>
      <c r="D441" s="4107"/>
      <c r="E441" s="4107"/>
      <c r="F441" s="4107"/>
      <c r="G441" s="4107"/>
      <c r="H441" s="4107"/>
      <c r="I441" s="4107"/>
      <c r="J441" s="4107"/>
      <c r="K441" s="4107"/>
      <c r="L441" s="4107"/>
      <c r="M441" s="4107"/>
      <c r="N441" s="4107"/>
      <c r="O441" s="4107"/>
      <c r="P441" s="4107"/>
      <c r="Q441" s="4108"/>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0"/>
      <c r="B443" s="4111"/>
      <c r="C443" s="4111"/>
      <c r="D443" s="4111"/>
      <c r="E443" s="4111"/>
      <c r="F443" s="4111"/>
      <c r="G443" s="4111"/>
      <c r="H443" s="4111"/>
      <c r="I443" s="4111"/>
      <c r="J443" s="4111"/>
      <c r="K443" s="4111"/>
      <c r="L443" s="4111"/>
      <c r="M443" s="4111"/>
      <c r="N443" s="4111"/>
      <c r="O443" s="4111"/>
      <c r="P443" s="4111"/>
      <c r="Q443" s="4112"/>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3680</v>
      </c>
      <c r="B445" s="4"/>
      <c r="C445" s="4" t="s">
        <v>2429</v>
      </c>
      <c r="D445" s="66"/>
      <c r="E445" s="874"/>
      <c r="F445" s="874"/>
      <c r="G445" s="874"/>
      <c r="H445" s="874"/>
      <c r="J445" s="874"/>
      <c r="K445" s="874"/>
      <c r="L445" s="874"/>
      <c r="M445" s="874"/>
      <c r="O445" s="101" t="s">
        <v>1726</v>
      </c>
      <c r="P445" s="4127"/>
      <c r="Q445" s="4116"/>
    </row>
    <row r="446" spans="1:31" ht="11.25" customHeight="1">
      <c r="A446" s="2"/>
      <c r="B446" s="109" t="s">
        <v>3157</v>
      </c>
      <c r="D446" s="109"/>
      <c r="E446" s="109"/>
      <c r="F446" s="109"/>
      <c r="G446" s="109"/>
      <c r="H446" s="33"/>
      <c r="I446" s="878"/>
      <c r="J446" s="878"/>
      <c r="K446" s="878"/>
      <c r="L446" s="674"/>
      <c r="M446" s="674"/>
      <c r="N446" s="674"/>
      <c r="O446" s="674"/>
      <c r="P446" s="674"/>
      <c r="Q446" s="674"/>
    </row>
    <row r="447" spans="1:31" ht="12" customHeight="1">
      <c r="A447" s="4106"/>
      <c r="B447" s="4107"/>
      <c r="C447" s="4107"/>
      <c r="D447" s="4107"/>
      <c r="E447" s="4107"/>
      <c r="F447" s="4107"/>
      <c r="G447" s="4107"/>
      <c r="H447" s="4107"/>
      <c r="I447" s="4107"/>
      <c r="J447" s="4107"/>
      <c r="K447" s="4107"/>
      <c r="L447" s="4107"/>
      <c r="M447" s="4107"/>
      <c r="N447" s="4107"/>
      <c r="O447" s="4107"/>
      <c r="P447" s="4107"/>
      <c r="Q447" s="4108"/>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0"/>
      <c r="B449" s="4111"/>
      <c r="C449" s="4111"/>
      <c r="D449" s="4111"/>
      <c r="E449" s="4111"/>
      <c r="F449" s="4111"/>
      <c r="G449" s="4111"/>
      <c r="H449" s="4111"/>
      <c r="I449" s="4111"/>
      <c r="J449" s="4111"/>
      <c r="K449" s="4111"/>
      <c r="L449" s="4111"/>
      <c r="M449" s="4111"/>
      <c r="N449" s="4111"/>
      <c r="O449" s="4111"/>
      <c r="P449" s="4111"/>
      <c r="Q449" s="4112"/>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4" t="s">
        <v>1542</v>
      </c>
      <c r="N456" s="795"/>
      <c r="O456" s="1784" t="s">
        <v>3917</v>
      </c>
      <c r="P456" s="1785"/>
      <c r="R456" s="44"/>
    </row>
    <row r="457" spans="1:18" s="794" customFormat="1" ht="11.25">
      <c r="A457" s="44"/>
      <c r="B457" s="44"/>
      <c r="C457" s="1786" t="s">
        <v>1310</v>
      </c>
      <c r="J457" s="1784" t="s">
        <v>1948</v>
      </c>
      <c r="N457" s="795"/>
      <c r="O457" s="1784" t="s">
        <v>3918</v>
      </c>
      <c r="P457" s="1785"/>
      <c r="R457" s="44"/>
    </row>
    <row r="458" spans="1:18" s="794" customFormat="1" ht="11.25">
      <c r="A458" s="44"/>
      <c r="B458" s="44"/>
      <c r="C458" s="1786" t="s">
        <v>1311</v>
      </c>
      <c r="J458" s="1784" t="s">
        <v>1535</v>
      </c>
      <c r="N458" s="795"/>
      <c r="O458" s="1784" t="s">
        <v>3919</v>
      </c>
      <c r="P458" s="1785"/>
      <c r="R458" s="44"/>
    </row>
    <row r="459" spans="1:18" s="794" customFormat="1" ht="11.25">
      <c r="A459" s="44"/>
      <c r="B459" s="44"/>
      <c r="C459" s="1786" t="s">
        <v>1975</v>
      </c>
      <c r="J459" s="1784" t="s">
        <v>1119</v>
      </c>
      <c r="N459" s="795"/>
      <c r="O459" s="1784" t="s">
        <v>3923</v>
      </c>
      <c r="P459" s="1785"/>
      <c r="R459" s="44"/>
    </row>
    <row r="460" spans="1:18" s="794" customFormat="1" ht="11.25">
      <c r="A460" s="44"/>
      <c r="B460" s="44"/>
      <c r="C460" s="1786" t="s">
        <v>1307</v>
      </c>
      <c r="J460" s="1784" t="s">
        <v>548</v>
      </c>
      <c r="N460" s="795"/>
      <c r="O460" s="1784" t="s">
        <v>3920</v>
      </c>
      <c r="P460" s="1785"/>
      <c r="R460" s="44"/>
    </row>
    <row r="461" spans="1:18" s="794" customFormat="1" ht="11.25">
      <c r="A461" s="44"/>
      <c r="B461" s="44"/>
      <c r="C461" s="1786" t="s">
        <v>1308</v>
      </c>
      <c r="J461" s="1784" t="s">
        <v>1541</v>
      </c>
      <c r="N461" s="795"/>
      <c r="O461" s="1784" t="s">
        <v>3921</v>
      </c>
      <c r="P461" s="1785"/>
      <c r="R461" s="44"/>
    </row>
    <row r="462" spans="1:18" s="794" customFormat="1" ht="11.25">
      <c r="A462" s="44"/>
      <c r="B462" s="44"/>
      <c r="C462" s="1786" t="s">
        <v>1970</v>
      </c>
      <c r="J462" s="1784" t="s">
        <v>1116</v>
      </c>
      <c r="N462" s="795"/>
      <c r="O462" s="1784" t="s">
        <v>3922</v>
      </c>
      <c r="P462" s="1785"/>
      <c r="R462" s="44"/>
    </row>
    <row r="463" spans="1:18" s="794" customFormat="1" ht="11.25">
      <c r="A463" s="44"/>
      <c r="B463" s="44"/>
      <c r="C463" s="1786" t="s">
        <v>1971</v>
      </c>
      <c r="J463" s="1784" t="s">
        <v>1115</v>
      </c>
      <c r="N463" s="795"/>
      <c r="O463" s="794" t="s">
        <v>3195</v>
      </c>
      <c r="P463" s="1785"/>
      <c r="R463" s="44"/>
    </row>
    <row r="464" spans="1:18" s="794" customFormat="1" ht="11.25">
      <c r="A464" s="44"/>
      <c r="B464" s="44"/>
      <c r="C464" s="1786" t="s">
        <v>1972</v>
      </c>
      <c r="J464" s="1784" t="s">
        <v>1601</v>
      </c>
      <c r="N464" s="795"/>
      <c r="O464" s="794" t="s">
        <v>3196</v>
      </c>
      <c r="P464" s="1785"/>
      <c r="R464" s="44"/>
    </row>
    <row r="465" spans="1:22" s="794" customFormat="1" ht="11.25">
      <c r="A465" s="44"/>
      <c r="B465" s="44"/>
      <c r="C465" s="1786" t="s">
        <v>1973</v>
      </c>
      <c r="J465" s="1784" t="s">
        <v>1544</v>
      </c>
      <c r="N465" s="795"/>
      <c r="O465" s="1784"/>
      <c r="P465" s="1785"/>
      <c r="R465" s="44"/>
    </row>
    <row r="466" spans="1:22" s="794" customFormat="1" ht="11.25">
      <c r="A466" s="44"/>
      <c r="B466" s="44"/>
      <c r="C466" s="1786" t="s">
        <v>1974</v>
      </c>
      <c r="J466" s="1784" t="s">
        <v>1536</v>
      </c>
      <c r="N466" s="795"/>
      <c r="O466" s="1785"/>
      <c r="P466" s="1785"/>
      <c r="R466" s="44"/>
    </row>
    <row r="467" spans="1:22" s="794" customFormat="1" ht="11.25">
      <c r="A467" s="44"/>
      <c r="B467" s="44"/>
      <c r="C467" s="1786" t="s">
        <v>1309</v>
      </c>
      <c r="J467" s="1784" t="s">
        <v>1947</v>
      </c>
      <c r="N467" s="795"/>
      <c r="O467" s="1784"/>
      <c r="P467" s="1785"/>
      <c r="R467" s="44"/>
    </row>
    <row r="468" spans="1:22" s="794" customFormat="1" ht="11.25">
      <c r="A468" s="44"/>
      <c r="B468" s="44"/>
      <c r="C468" s="1786" t="s">
        <v>2103</v>
      </c>
      <c r="N468" s="795"/>
      <c r="O468" s="1785"/>
      <c r="P468" s="1785"/>
      <c r="R468" s="44"/>
    </row>
    <row r="469" spans="1:22" s="794" customFormat="1" ht="11.25">
      <c r="A469" s="44"/>
      <c r="B469" s="44"/>
      <c r="N469" s="795"/>
      <c r="O469" s="1785"/>
      <c r="P469" s="1785"/>
      <c r="R469" s="44"/>
    </row>
    <row r="470" spans="1:22" s="794" customFormat="1" ht="11.25">
      <c r="A470" s="44"/>
      <c r="B470" s="44"/>
      <c r="R470" s="44"/>
      <c r="S470" s="44"/>
      <c r="T470" s="44"/>
      <c r="U470" s="44"/>
      <c r="V470" s="44"/>
    </row>
    <row r="471" spans="1:22" s="794" customFormat="1" ht="11.25">
      <c r="A471" s="44"/>
      <c r="B471" s="44"/>
      <c r="C471" s="1787" t="s">
        <v>1659</v>
      </c>
      <c r="R471" s="44"/>
    </row>
    <row r="472" spans="1:22" s="794" customFormat="1" ht="11.25">
      <c r="A472" s="44"/>
      <c r="B472" s="44"/>
      <c r="C472" s="794" t="s">
        <v>868</v>
      </c>
      <c r="R472" s="44"/>
    </row>
    <row r="473" spans="1:22" s="794" customFormat="1" ht="11.25">
      <c r="A473" s="44"/>
      <c r="B473" s="44"/>
      <c r="C473" s="1786" t="s">
        <v>1520</v>
      </c>
      <c r="R473" s="44"/>
    </row>
    <row r="474" spans="1:22" s="794" customFormat="1" ht="11.25">
      <c r="A474" s="44"/>
      <c r="B474" s="44"/>
      <c r="C474" s="1786" t="s">
        <v>671</v>
      </c>
      <c r="L474" s="1786"/>
      <c r="R474" s="44"/>
    </row>
    <row r="475" spans="1:22" s="794" customFormat="1" ht="11.25">
      <c r="A475" s="44"/>
      <c r="B475" s="44"/>
      <c r="C475" s="1786" t="s">
        <v>672</v>
      </c>
      <c r="L475" s="1786"/>
      <c r="R475" s="44"/>
    </row>
    <row r="476" spans="1:22" s="794" customFormat="1" ht="11.25">
      <c r="A476" s="44"/>
      <c r="B476" s="44"/>
      <c r="C476" s="1786" t="s">
        <v>1996</v>
      </c>
      <c r="L476" s="1786"/>
      <c r="R476" s="44"/>
    </row>
    <row r="477" spans="1:22" s="794" customFormat="1" ht="11.25">
      <c r="A477" s="44"/>
      <c r="B477" s="44"/>
      <c r="C477" s="1786" t="s">
        <v>120</v>
      </c>
      <c r="L477" s="1786"/>
      <c r="R477" s="44"/>
    </row>
    <row r="478" spans="1:22" s="794" customFormat="1" ht="11.25">
      <c r="A478" s="44"/>
      <c r="B478" s="44"/>
      <c r="C478" s="794" t="s">
        <v>118</v>
      </c>
      <c r="L478" s="1786"/>
      <c r="R478" s="44"/>
    </row>
    <row r="479" spans="1:22" s="794" customFormat="1" ht="11.25">
      <c r="A479" s="44"/>
      <c r="B479" s="44"/>
      <c r="C479" s="794" t="s">
        <v>1736</v>
      </c>
      <c r="R479" s="44"/>
    </row>
    <row r="480" spans="1:22" s="794" customFormat="1" ht="11.25">
      <c r="A480" s="44"/>
      <c r="B480" s="44"/>
      <c r="C480" s="1786" t="s">
        <v>887</v>
      </c>
      <c r="L480" s="1786"/>
      <c r="R480" s="44"/>
    </row>
    <row r="481" spans="1:18" s="794" customFormat="1" ht="11.25">
      <c r="A481" s="44"/>
      <c r="B481" s="44"/>
      <c r="C481" s="794" t="s">
        <v>119</v>
      </c>
      <c r="L481" s="1786"/>
      <c r="R481" s="44"/>
    </row>
    <row r="482" spans="1:18" s="794" customFormat="1" ht="11.25">
      <c r="A482" s="44"/>
      <c r="B482" s="44"/>
      <c r="C482" s="794" t="s">
        <v>120</v>
      </c>
      <c r="L482" s="1786"/>
      <c r="R482" s="44"/>
    </row>
    <row r="483" spans="1:18" s="794" customFormat="1" ht="11.25">
      <c r="A483" s="44"/>
      <c r="B483" s="44"/>
      <c r="C483" s="794" t="s">
        <v>121</v>
      </c>
      <c r="L483" s="1786"/>
      <c r="R483" s="44"/>
    </row>
    <row r="484" spans="1:18" s="794" customFormat="1" ht="11.25">
      <c r="A484" s="44"/>
      <c r="B484" s="44"/>
      <c r="C484" s="794" t="s">
        <v>2432</v>
      </c>
      <c r="R484" s="44"/>
    </row>
    <row r="485" spans="1:18" s="794" customFormat="1" ht="11.25">
      <c r="A485" s="44"/>
      <c r="B485" s="44"/>
      <c r="C485" s="1786" t="s">
        <v>1860</v>
      </c>
      <c r="L485" s="1786"/>
      <c r="R485" s="44"/>
    </row>
    <row r="486" spans="1:18" s="794" customFormat="1" ht="11.25">
      <c r="A486" s="44"/>
      <c r="B486" s="44"/>
      <c r="C486" s="794" t="s">
        <v>2433</v>
      </c>
      <c r="L486" s="1786"/>
      <c r="R486" s="44"/>
    </row>
    <row r="487" spans="1:18" s="794" customFormat="1" ht="11.25">
      <c r="A487" s="44"/>
      <c r="B487" s="44"/>
      <c r="C487" s="794" t="s">
        <v>1302</v>
      </c>
      <c r="L487" s="1786"/>
      <c r="R487" s="44"/>
    </row>
    <row r="488" spans="1:18" s="794" customFormat="1" ht="11.25">
      <c r="A488" s="44"/>
      <c r="B488" s="44"/>
      <c r="C488" s="794" t="s">
        <v>1483</v>
      </c>
      <c r="K488" s="1787" t="s">
        <v>433</v>
      </c>
      <c r="L488" s="1786"/>
      <c r="R488" s="44"/>
    </row>
    <row r="489" spans="1:18" s="794" customFormat="1" ht="11.25">
      <c r="A489" s="44"/>
      <c r="B489" s="44"/>
      <c r="C489" s="794" t="s">
        <v>2434</v>
      </c>
      <c r="K489" s="794" t="s">
        <v>1017</v>
      </c>
      <c r="L489" s="1786"/>
      <c r="R489" s="44"/>
    </row>
    <row r="490" spans="1:18" s="794" customFormat="1" ht="11.25">
      <c r="A490" s="44"/>
      <c r="B490" s="44"/>
      <c r="C490" s="794" t="s">
        <v>2435</v>
      </c>
      <c r="K490" s="794" t="s">
        <v>3166</v>
      </c>
      <c r="R490" s="44"/>
    </row>
    <row r="491" spans="1:18" s="794" customFormat="1" ht="11.25">
      <c r="A491" s="44"/>
      <c r="B491" s="44"/>
      <c r="C491" s="1786" t="s">
        <v>1129</v>
      </c>
      <c r="K491" s="794" t="s">
        <v>4100</v>
      </c>
      <c r="R491" s="44"/>
    </row>
    <row r="492" spans="1:18" s="794" customFormat="1" ht="11.25">
      <c r="A492" s="44"/>
      <c r="B492" s="44"/>
      <c r="R492" s="44"/>
    </row>
    <row r="493" spans="1:18" s="794" customFormat="1" ht="11.25">
      <c r="A493" s="44"/>
      <c r="B493" s="44"/>
      <c r="C493" s="1787" t="s">
        <v>244</v>
      </c>
      <c r="K493" s="1787" t="s">
        <v>2067</v>
      </c>
      <c r="R493" s="44"/>
    </row>
    <row r="494" spans="1:18" s="794" customFormat="1" ht="11.25">
      <c r="A494" s="44"/>
      <c r="B494" s="44"/>
      <c r="C494" s="794" t="s">
        <v>1018</v>
      </c>
      <c r="K494" s="794" t="s">
        <v>2141</v>
      </c>
      <c r="R494" s="44"/>
    </row>
    <row r="495" spans="1:18" s="794" customFormat="1" ht="11.25">
      <c r="A495" s="44"/>
      <c r="B495" s="44"/>
      <c r="C495" s="794" t="s">
        <v>163</v>
      </c>
      <c r="K495" s="794" t="s">
        <v>4203</v>
      </c>
      <c r="R495" s="44"/>
    </row>
    <row r="496" spans="1:18" s="794" customFormat="1" ht="11.25">
      <c r="A496" s="44"/>
      <c r="B496" s="44"/>
      <c r="C496" s="794" t="s">
        <v>1427</v>
      </c>
      <c r="K496" s="794" t="s">
        <v>4202</v>
      </c>
      <c r="R496" s="44"/>
    </row>
    <row r="497" spans="1:18" s="794" customFormat="1" ht="11.25">
      <c r="A497" s="44"/>
      <c r="B497" s="44"/>
      <c r="C497" s="794" t="s">
        <v>1960</v>
      </c>
      <c r="K497" s="794" t="s">
        <v>4101</v>
      </c>
      <c r="R497" s="44"/>
    </row>
    <row r="498" spans="1:18" s="794" customFormat="1" ht="11.25">
      <c r="A498" s="44"/>
      <c r="B498" s="44"/>
      <c r="C498" s="794" t="s">
        <v>162</v>
      </c>
      <c r="K498" s="794" t="s">
        <v>4204</v>
      </c>
      <c r="R498" s="44"/>
    </row>
    <row r="499" spans="1:18" s="794" customFormat="1" ht="11.25">
      <c r="A499" s="44"/>
      <c r="B499" s="44"/>
      <c r="K499" s="1787"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7" t="s">
        <v>950</v>
      </c>
      <c r="M506" s="1787" t="s">
        <v>3729</v>
      </c>
      <c r="R506" s="44"/>
    </row>
    <row r="507" spans="1:18" s="794" customFormat="1" ht="11.25">
      <c r="A507" s="44"/>
      <c r="B507" s="44"/>
      <c r="C507" s="794" t="s">
        <v>949</v>
      </c>
      <c r="M507" s="794" t="s">
        <v>949</v>
      </c>
      <c r="R507" s="44"/>
    </row>
    <row r="508" spans="1:18" s="794" customFormat="1" ht="11.25">
      <c r="A508" s="44"/>
      <c r="B508" s="44"/>
      <c r="C508" s="794" t="s">
        <v>1933</v>
      </c>
      <c r="M508" s="794" t="s">
        <v>3726</v>
      </c>
      <c r="R508" s="44"/>
    </row>
    <row r="509" spans="1:18" s="794" customFormat="1" ht="11.25">
      <c r="A509" s="44"/>
      <c r="B509" s="44"/>
      <c r="C509" s="794" t="s">
        <v>2335</v>
      </c>
      <c r="M509" s="794" t="s">
        <v>3757</v>
      </c>
      <c r="R509" s="44"/>
    </row>
    <row r="510" spans="1:18" s="794" customFormat="1" ht="11.25">
      <c r="A510" s="44"/>
      <c r="B510" s="44"/>
      <c r="C510" s="794" t="s">
        <v>1934</v>
      </c>
      <c r="M510" s="794" t="s">
        <v>1538</v>
      </c>
      <c r="R510" s="44"/>
    </row>
    <row r="511" spans="1:18" s="794" customFormat="1" ht="11.25">
      <c r="A511" s="44"/>
      <c r="B511" s="44"/>
      <c r="C511" s="794" t="s">
        <v>1805</v>
      </c>
      <c r="M511" s="794" t="s">
        <v>3727</v>
      </c>
      <c r="R511" s="44"/>
    </row>
    <row r="512" spans="1:18" s="794" customFormat="1" ht="11.25">
      <c r="A512" s="44"/>
      <c r="B512" s="44"/>
      <c r="C512" s="794" t="s">
        <v>547</v>
      </c>
      <c r="M512" s="794" t="s">
        <v>3776</v>
      </c>
      <c r="R512" s="44"/>
    </row>
    <row r="513" spans="1:18" s="794" customFormat="1" ht="11.25">
      <c r="A513" s="44"/>
      <c r="B513" s="44"/>
      <c r="C513" s="794" t="s">
        <v>2030</v>
      </c>
      <c r="M513" s="794" t="s">
        <v>3777</v>
      </c>
      <c r="R513" s="44"/>
    </row>
    <row r="514" spans="1:18" s="794" customFormat="1" ht="11.25">
      <c r="A514" s="44"/>
      <c r="B514" s="44"/>
      <c r="C514" s="794" t="s">
        <v>30</v>
      </c>
      <c r="M514" s="794" t="s">
        <v>3728</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8" t="s">
        <v>3178</v>
      </c>
      <c r="R518" s="44"/>
    </row>
    <row r="519" spans="1:18" s="794" customFormat="1" ht="11.25">
      <c r="A519" s="44"/>
      <c r="B519" s="44"/>
      <c r="M519" s="794" t="s">
        <v>3250</v>
      </c>
      <c r="R519" s="44"/>
    </row>
    <row r="520" spans="1:18" s="794" customFormat="1" ht="11.25">
      <c r="A520" s="44"/>
      <c r="B520" s="44"/>
      <c r="M520" s="794" t="s">
        <v>3245</v>
      </c>
      <c r="R520" s="44"/>
    </row>
    <row r="521" spans="1:18" s="794" customFormat="1" ht="11.25">
      <c r="A521" s="44"/>
      <c r="B521" s="44"/>
      <c r="M521" s="794" t="s">
        <v>3171</v>
      </c>
      <c r="R521" s="44"/>
    </row>
    <row r="522" spans="1:18" s="794" customFormat="1" ht="11.25">
      <c r="A522" s="44"/>
      <c r="B522" s="44"/>
      <c r="M522" s="794" t="s">
        <v>3241</v>
      </c>
      <c r="R522" s="44"/>
    </row>
    <row r="523" spans="1:18" s="794" customFormat="1" ht="11.25">
      <c r="A523" s="44"/>
      <c r="B523" s="44"/>
      <c r="D523" s="1788" t="s">
        <v>1883</v>
      </c>
      <c r="M523" s="794" t="s">
        <v>3172</v>
      </c>
      <c r="R523" s="44"/>
    </row>
    <row r="524" spans="1:18" s="794" customFormat="1">
      <c r="A524" s="44"/>
      <c r="B524" s="44"/>
      <c r="J524" s="356"/>
      <c r="M524" s="794" t="s">
        <v>3242</v>
      </c>
      <c r="R524" s="44"/>
    </row>
    <row r="525" spans="1:18" s="356" customFormat="1">
      <c r="A525" s="115"/>
      <c r="B525" s="115"/>
      <c r="M525" s="794" t="s">
        <v>3173</v>
      </c>
      <c r="O525" s="794"/>
      <c r="R525" s="115"/>
    </row>
    <row r="526" spans="1:18" s="356" customFormat="1">
      <c r="A526" s="115"/>
      <c r="B526" s="115"/>
      <c r="M526" s="794" t="s">
        <v>3243</v>
      </c>
      <c r="R526" s="115"/>
    </row>
    <row r="527" spans="1:18" s="356" customFormat="1">
      <c r="A527" s="115"/>
      <c r="B527" s="115"/>
      <c r="M527" s="794" t="s">
        <v>3246</v>
      </c>
      <c r="R527" s="115"/>
    </row>
    <row r="528" spans="1:18" s="356" customFormat="1">
      <c r="A528" s="115"/>
      <c r="B528" s="115"/>
      <c r="M528" s="794" t="s">
        <v>3174</v>
      </c>
      <c r="R528" s="115"/>
    </row>
    <row r="529" spans="1:22" s="356" customFormat="1">
      <c r="A529" s="115"/>
      <c r="B529" s="115"/>
      <c r="M529" s="794" t="s">
        <v>3175</v>
      </c>
      <c r="R529" s="115"/>
    </row>
    <row r="530" spans="1:22" s="356" customFormat="1">
      <c r="A530" s="115"/>
      <c r="B530" s="115"/>
      <c r="M530" s="794" t="s">
        <v>3244</v>
      </c>
      <c r="R530" s="115"/>
    </row>
    <row r="531" spans="1:22" s="356" customFormat="1">
      <c r="A531" s="115"/>
      <c r="B531" s="115"/>
      <c r="M531" s="794" t="s">
        <v>3247</v>
      </c>
      <c r="R531" s="115"/>
    </row>
    <row r="532" spans="1:22" s="356" customFormat="1">
      <c r="A532" s="115"/>
      <c r="B532" s="115"/>
      <c r="M532" s="794" t="s">
        <v>3248</v>
      </c>
      <c r="R532" s="115"/>
    </row>
    <row r="533" spans="1:22" s="356" customFormat="1">
      <c r="A533" s="115"/>
      <c r="B533" s="115"/>
      <c r="M533" s="794" t="s">
        <v>4423</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8" t="s">
        <v>4420</v>
      </c>
      <c r="B2" s="4298"/>
      <c r="C2" s="147"/>
      <c r="D2" s="782">
        <v>2021</v>
      </c>
      <c r="E2" s="144"/>
      <c r="F2" s="4333" t="s">
        <v>2927</v>
      </c>
      <c r="G2" s="4334"/>
      <c r="H2" s="4334"/>
      <c r="I2" s="4334"/>
      <c r="J2" s="4335"/>
      <c r="K2" s="234"/>
      <c r="L2" s="442" t="s">
        <v>3057</v>
      </c>
      <c r="M2" s="234"/>
      <c r="N2" s="4333" t="s">
        <v>2927</v>
      </c>
      <c r="O2" s="4334"/>
      <c r="P2" s="4334"/>
      <c r="Q2" s="4334"/>
      <c r="R2" s="4335"/>
      <c r="S2" s="241"/>
      <c r="T2" s="144"/>
      <c r="U2" s="144"/>
      <c r="V2" s="321"/>
      <c r="W2" s="321"/>
      <c r="X2" s="321"/>
      <c r="AA2" s="68"/>
      <c r="AB2" s="68"/>
    </row>
    <row r="3" spans="1:28" s="145" customFormat="1" ht="11.65" customHeight="1">
      <c r="A3" s="4298"/>
      <c r="B3" s="4298"/>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298"/>
      <c r="B4" s="4298"/>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09" t="s">
        <v>4421</v>
      </c>
      <c r="B42" s="1710"/>
      <c r="C42" s="1710"/>
    </row>
    <row r="44" spans="1:295" s="28" customFormat="1" ht="12.75" customHeight="1">
      <c r="A44" s="2" t="s">
        <v>688</v>
      </c>
      <c r="B44" s="4" t="s">
        <v>2454</v>
      </c>
      <c r="C44" s="4"/>
      <c r="D44" s="4"/>
      <c r="E44" s="874"/>
      <c r="G44" s="487"/>
      <c r="H44" s="487"/>
      <c r="I44" s="487"/>
      <c r="J44" s="35"/>
      <c r="L44" s="488"/>
      <c r="M44" s="488"/>
      <c r="N44" s="488"/>
      <c r="O44" s="101" t="s">
        <v>1726</v>
      </c>
      <c r="P44" s="4127"/>
      <c r="Q44" s="4116"/>
    </row>
    <row r="45" spans="1:295" s="28" customFormat="1" ht="11.25" customHeight="1">
      <c r="A45" s="4305"/>
      <c r="B45" s="4305"/>
      <c r="C45" s="4305"/>
      <c r="D45" s="4305"/>
      <c r="E45" s="4305"/>
      <c r="F45" s="1186"/>
      <c r="G45" s="4289" t="s">
        <v>2458</v>
      </c>
      <c r="H45" s="4290"/>
      <c r="I45" s="66"/>
      <c r="J45" s="35"/>
      <c r="K45" s="4291" t="s">
        <v>3080</v>
      </c>
      <c r="L45" s="4292"/>
      <c r="M45" s="4292"/>
      <c r="N45" s="4293"/>
    </row>
    <row r="46" spans="1:295" s="28" customFormat="1" ht="11.25" customHeight="1">
      <c r="A46" s="4305"/>
      <c r="B46" s="4305"/>
      <c r="C46" s="4305"/>
      <c r="D46" s="4305"/>
      <c r="E46" s="4305"/>
      <c r="F46" s="1186"/>
      <c r="G46" s="4294" t="s">
        <v>333</v>
      </c>
      <c r="H46" s="4295"/>
      <c r="I46" s="66"/>
      <c r="J46" s="35"/>
      <c r="K46" s="4300" t="s">
        <v>3081</v>
      </c>
      <c r="L46" s="4301"/>
      <c r="M46" s="4301"/>
      <c r="N46" s="4302"/>
      <c r="P46" s="404" t="s">
        <v>2467</v>
      </c>
      <c r="Q46" s="74"/>
    </row>
    <row r="47" spans="1:295" s="28" customFormat="1" ht="4.5" customHeight="1">
      <c r="A47" s="1186"/>
      <c r="B47" s="1186"/>
      <c r="C47" s="1186"/>
      <c r="D47" s="1186"/>
      <c r="E47" s="1186"/>
      <c r="F47" s="1186"/>
      <c r="G47" s="66"/>
      <c r="H47" s="66"/>
      <c r="I47" s="66"/>
      <c r="J47" s="35"/>
      <c r="K47" s="4245"/>
      <c r="L47" s="4245"/>
      <c r="M47" s="4245"/>
      <c r="N47" s="4245"/>
      <c r="P47" s="4303" t="s">
        <v>3812</v>
      </c>
      <c r="Q47" s="4303"/>
    </row>
    <row r="48" spans="1:295" s="62" customFormat="1" ht="10.5" customHeight="1">
      <c r="D48" s="490" t="s">
        <v>2457</v>
      </c>
      <c r="E48" s="28"/>
      <c r="F48" s="491" t="s">
        <v>2983</v>
      </c>
      <c r="G48" s="4318" t="s">
        <v>3770</v>
      </c>
      <c r="H48" s="4318"/>
      <c r="I48" s="4318"/>
      <c r="J48" s="28"/>
      <c r="K48" s="491" t="s">
        <v>2983</v>
      </c>
      <c r="L48" s="4318" t="s">
        <v>3769</v>
      </c>
      <c r="M48" s="4318"/>
      <c r="N48" s="4318"/>
      <c r="O48" s="28"/>
      <c r="P48" s="4303"/>
      <c r="Q48" s="4303"/>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8" t="s">
        <v>2926</v>
      </c>
      <c r="B49" s="4288"/>
      <c r="C49" s="4288"/>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4"/>
      <c r="Q49" s="4304"/>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8"/>
      <c r="B50" s="4288"/>
      <c r="C50" s="4288"/>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10" t="e">
        <f>IF(#REF!="","",VLOOKUP(#REF!,#REF!,8,FALSE))</f>
        <v>#REF!</v>
      </c>
      <c r="Q50" s="4311"/>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8"/>
      <c r="B51" s="4288"/>
      <c r="C51" s="4288"/>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2"/>
      <c r="Q51" s="4313"/>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8"/>
      <c r="B52" s="4288"/>
      <c r="C52" s="4288"/>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101" t="s">
        <v>3813</v>
      </c>
      <c r="Q52" s="4101"/>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6" t="e">
        <f>#REF!</f>
        <v>#REF!</v>
      </c>
      <c r="Q53" s="4297"/>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101" t="s">
        <v>3804</v>
      </c>
      <c r="Q54" s="4101"/>
      <c r="R54" s="4336" t="s">
        <v>4198</v>
      </c>
      <c r="S54" s="4336"/>
      <c r="T54" s="4336"/>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8" t="s">
        <v>2921</v>
      </c>
      <c r="B56" s="4288"/>
      <c r="C56" s="4288"/>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6" t="e">
        <f>#REF!-#REF!-#REF!-#REF!-#REF!-#REF!</f>
        <v>#REF!</v>
      </c>
      <c r="Q56" s="4297"/>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8"/>
      <c r="B57" s="4288"/>
      <c r="C57" s="4288"/>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3" t="s">
        <v>3278</v>
      </c>
      <c r="Q57" s="330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8"/>
      <c r="B58" s="4288"/>
      <c r="C58" s="4288"/>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4"/>
      <c r="Q58" s="4315"/>
      <c r="R58" s="327"/>
      <c r="S58" s="4319" t="s">
        <v>3807</v>
      </c>
      <c r="T58" s="4320"/>
      <c r="U58" s="4320"/>
      <c r="V58" s="4321"/>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6"/>
      <c r="Q59" s="4317"/>
      <c r="S59" s="4322"/>
      <c r="T59" s="4323"/>
      <c r="U59" s="4323"/>
      <c r="V59" s="4324"/>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9" t="s">
        <v>3076</v>
      </c>
      <c r="Q60" s="4299"/>
      <c r="S60" s="4322"/>
      <c r="T60" s="4323"/>
      <c r="U60" s="4323"/>
      <c r="V60" s="4324"/>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2"/>
      <c r="T61" s="4323"/>
      <c r="U61" s="4323"/>
      <c r="V61" s="4324"/>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2"/>
      <c r="T62" s="4323"/>
      <c r="U62" s="4323"/>
      <c r="V62" s="4324"/>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2"/>
      <c r="T63" s="4323"/>
      <c r="U63" s="4323"/>
      <c r="V63" s="4324"/>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9" t="s">
        <v>3077</v>
      </c>
      <c r="Q64" s="4299"/>
      <c r="S64" s="4322"/>
      <c r="T64" s="4323"/>
      <c r="U64" s="4323"/>
      <c r="V64" s="4324"/>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2"/>
      <c r="T65" s="4323"/>
      <c r="U65" s="4323"/>
      <c r="V65" s="4324"/>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2"/>
      <c r="T66" s="4323"/>
      <c r="U66" s="4323"/>
      <c r="V66" s="4324"/>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31" t="s">
        <v>2484</v>
      </c>
      <c r="Q67" s="4331"/>
      <c r="S67" s="4322"/>
      <c r="T67" s="4323"/>
      <c r="U67" s="4323"/>
      <c r="V67" s="4324"/>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31"/>
      <c r="Q68" s="4331"/>
      <c r="S68" s="4322"/>
      <c r="T68" s="4323"/>
      <c r="U68" s="4323"/>
      <c r="V68" s="4324"/>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31"/>
      <c r="Q69" s="4331"/>
      <c r="R69" s="327"/>
      <c r="S69" s="4322"/>
      <c r="T69" s="4323"/>
      <c r="U69" s="4323"/>
      <c r="V69" s="4324"/>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2"/>
      <c r="Q70" s="4332"/>
      <c r="R70" s="327"/>
      <c r="S70" s="4325"/>
      <c r="T70" s="4326"/>
      <c r="U70" s="4326"/>
      <c r="V70" s="4327"/>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6" t="e">
        <f>IF(P58&gt;1,P58, IF(OR('Part VIII Scoring Criteria OLD'!$O$113='Part VIII Scoring Criteria OLD'!$M$113,AND(#REF!="Yes",'Part VIII Scoring Criteria OLD'!$O$378&gt;0)),H77+M77,H77))</f>
        <v>#REF!</v>
      </c>
      <c r="Q71" s="4307"/>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8"/>
      <c r="Q72" s="4309"/>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8" t="s">
        <v>3362</v>
      </c>
      <c r="Q73" s="4328"/>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9"/>
      <c r="Q74" s="4329"/>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9"/>
      <c r="Q75" s="4329"/>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9"/>
      <c r="Q76" s="4329"/>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7" t="e">
        <f>I54+I61+I68+I75</f>
        <v>#REF!</v>
      </c>
      <c r="I77" s="4337"/>
      <c r="J77" s="4337"/>
      <c r="K77" s="485" t="e">
        <f>K54+K61+K68+K75</f>
        <v>#REF!</v>
      </c>
      <c r="L77" s="486"/>
      <c r="M77" s="4337" t="e">
        <f>N54+N61+N68+N75</f>
        <v>#REF!</v>
      </c>
      <c r="N77" s="4337"/>
      <c r="O77" s="4337"/>
      <c r="P77" s="4329"/>
      <c r="Q77" s="4329"/>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3157</v>
      </c>
      <c r="D78" s="73"/>
      <c r="E78" s="73"/>
      <c r="F78" s="73"/>
      <c r="G78" s="73"/>
      <c r="H78" s="33"/>
      <c r="I78" s="878"/>
      <c r="J78" s="878"/>
      <c r="K78" s="105" t="s">
        <v>1725</v>
      </c>
      <c r="L78" s="674"/>
      <c r="M78" s="674"/>
      <c r="N78" s="674"/>
      <c r="O78" s="674"/>
      <c r="P78" s="4330"/>
      <c r="Q78" s="4330"/>
    </row>
    <row r="79" spans="1:295" s="28" customFormat="1" ht="10.5" customHeight="1">
      <c r="A79" s="4106"/>
      <c r="B79" s="4107"/>
      <c r="C79" s="4107"/>
      <c r="D79" s="4107"/>
      <c r="E79" s="4107"/>
      <c r="F79" s="4107"/>
      <c r="G79" s="4107"/>
      <c r="H79" s="4107"/>
      <c r="I79" s="4107"/>
      <c r="J79" s="4108"/>
      <c r="K79" s="4110"/>
      <c r="L79" s="4111"/>
      <c r="M79" s="4111"/>
      <c r="N79" s="4111"/>
      <c r="O79" s="4111"/>
      <c r="P79" s="4111"/>
      <c r="Q79" s="4112"/>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4" t="e">
        <f>CONCATENATE("PART EIGHT - SCORING CRITERIA","  -  ",#REF!," ",#REF!,", ",#REF!,", ",#REF!," County")</f>
        <v>#REF!</v>
      </c>
      <c r="B1" s="3215"/>
      <c r="C1" s="3215"/>
      <c r="D1" s="3215"/>
      <c r="E1" s="3215"/>
      <c r="F1" s="3215"/>
      <c r="G1" s="3215"/>
      <c r="H1" s="3215"/>
      <c r="I1" s="3215"/>
      <c r="J1" s="3215"/>
      <c r="K1" s="3215"/>
      <c r="L1" s="3215"/>
      <c r="M1" s="3215"/>
      <c r="N1" s="3215"/>
      <c r="O1" s="3215"/>
      <c r="P1" s="3216"/>
      <c r="Q1" s="4624" t="s">
        <v>4541</v>
      </c>
      <c r="R1" s="4624"/>
      <c r="S1" s="4624"/>
      <c r="T1" s="4624"/>
      <c r="U1" s="4624"/>
      <c r="V1" s="4624"/>
      <c r="W1" s="1877"/>
      <c r="X1" s="1836"/>
    </row>
    <row r="2" spans="1:25" s="28" customFormat="1" ht="4.3499999999999996" customHeight="1">
      <c r="A2" s="29"/>
      <c r="B2" s="29"/>
      <c r="C2" s="30"/>
      <c r="D2" s="29"/>
      <c r="E2" s="29"/>
      <c r="F2" s="29"/>
      <c r="G2" s="29"/>
      <c r="H2" s="29"/>
      <c r="I2" s="29"/>
      <c r="J2" s="29"/>
      <c r="K2" s="29"/>
      <c r="L2" s="29"/>
      <c r="M2" s="31"/>
      <c r="N2" s="53"/>
      <c r="O2" s="119"/>
      <c r="P2" s="119"/>
      <c r="Q2" s="4624"/>
      <c r="R2" s="4624"/>
      <c r="S2" s="4624"/>
      <c r="T2" s="4624"/>
      <c r="U2" s="4624"/>
      <c r="V2" s="4624"/>
      <c r="W2" s="1877"/>
      <c r="X2" s="1836"/>
    </row>
    <row r="3" spans="1:25" s="35" customFormat="1" ht="12" customHeight="1">
      <c r="A3" s="4517" t="s">
        <v>4554</v>
      </c>
      <c r="B3" s="4517"/>
      <c r="C3" s="4517"/>
      <c r="D3" s="4517"/>
      <c r="E3" s="4517"/>
      <c r="F3" s="4517"/>
      <c r="G3" s="4517"/>
      <c r="H3" s="4517"/>
      <c r="I3" s="4517"/>
      <c r="J3" s="4517"/>
      <c r="K3" s="4517"/>
      <c r="L3" s="4517"/>
      <c r="M3" s="658"/>
      <c r="N3" s="54"/>
      <c r="O3" s="63" t="s">
        <v>2045</v>
      </c>
      <c r="P3" s="901" t="s">
        <v>245</v>
      </c>
      <c r="Q3" s="4624"/>
      <c r="R3" s="4624"/>
      <c r="S3" s="4624"/>
      <c r="T3" s="4624"/>
      <c r="U3" s="4624"/>
      <c r="V3" s="4624"/>
      <c r="W3" s="1877"/>
      <c r="X3" s="1836"/>
    </row>
    <row r="4" spans="1:25" s="37" customFormat="1" ht="12" customHeight="1">
      <c r="A4" s="4517"/>
      <c r="B4" s="4517"/>
      <c r="C4" s="4517"/>
      <c r="D4" s="4517"/>
      <c r="E4" s="4517"/>
      <c r="F4" s="4517"/>
      <c r="G4" s="4517"/>
      <c r="H4" s="4517"/>
      <c r="I4" s="4517"/>
      <c r="J4" s="4517"/>
      <c r="K4" s="4517"/>
      <c r="L4" s="4517"/>
      <c r="M4" s="658"/>
      <c r="N4" s="64"/>
      <c r="O4" s="149" t="s">
        <v>2046</v>
      </c>
      <c r="P4" s="149" t="s">
        <v>2046</v>
      </c>
      <c r="Q4" s="4624"/>
      <c r="R4" s="4624"/>
      <c r="S4" s="4624"/>
      <c r="T4" s="4624"/>
      <c r="U4" s="4624"/>
      <c r="V4" s="4624"/>
    </row>
    <row r="5" spans="1:25" s="37" customFormat="1" ht="3" customHeight="1" thickBot="1">
      <c r="A5" s="35"/>
      <c r="B5" s="35"/>
      <c r="C5" s="35"/>
      <c r="D5" s="35"/>
      <c r="E5" s="35"/>
      <c r="F5" s="35"/>
      <c r="G5" s="35"/>
      <c r="H5" s="35"/>
      <c r="I5" s="35"/>
      <c r="J5" s="35"/>
      <c r="K5" s="35"/>
      <c r="M5" s="1544"/>
      <c r="N5" s="4"/>
      <c r="O5" s="119"/>
      <c r="P5" s="24"/>
      <c r="Q5" s="4624"/>
      <c r="R5" s="4624"/>
      <c r="S5" s="4624"/>
      <c r="T5" s="4624"/>
      <c r="U5" s="4624"/>
      <c r="V5" s="4624"/>
    </row>
    <row r="6" spans="1:25" s="37" customFormat="1" ht="13.5" customHeight="1" thickTop="1" thickBot="1">
      <c r="A6" s="35"/>
      <c r="B6" s="4547" t="e">
        <f>#REF!</f>
        <v>#REF!</v>
      </c>
      <c r="C6" s="4547"/>
      <c r="D6" s="4547"/>
      <c r="E6" s="4547"/>
      <c r="F6" s="4547"/>
      <c r="G6" s="72"/>
      <c r="H6" s="35"/>
      <c r="I6" s="35"/>
      <c r="J6" s="35"/>
      <c r="L6" s="51" t="s">
        <v>1151</v>
      </c>
      <c r="M6" s="3"/>
      <c r="N6" s="7"/>
      <c r="O6" s="1524" t="e">
        <f>O442</f>
        <v>#REF!</v>
      </c>
      <c r="P6" s="1524" t="e">
        <f>P442</f>
        <v>#REF!</v>
      </c>
      <c r="Q6" s="1457" t="s">
        <v>4632</v>
      </c>
      <c r="R6" s="1874"/>
      <c r="S6" s="1874"/>
      <c r="T6" s="1874"/>
      <c r="U6" s="1874"/>
      <c r="V6" s="1874"/>
      <c r="W6" s="1874"/>
      <c r="X6" s="1874"/>
      <c r="Y6" s="1874"/>
    </row>
    <row r="7" spans="1:25" s="36" customFormat="1" ht="3.6" customHeight="1" thickTop="1">
      <c r="A7" s="35"/>
      <c r="B7" s="40"/>
      <c r="C7" s="29"/>
      <c r="D7" s="41"/>
      <c r="E7" s="41"/>
      <c r="F7" s="41"/>
      <c r="G7" s="41"/>
      <c r="H7" s="41"/>
      <c r="I7" s="41"/>
      <c r="J7" s="41"/>
      <c r="K7" s="41"/>
      <c r="L7" s="35"/>
      <c r="M7" s="39"/>
      <c r="N7" s="47"/>
      <c r="O7" s="3"/>
      <c r="P7" s="119"/>
      <c r="Q7" s="1874"/>
      <c r="R7" s="1874"/>
      <c r="S7" s="1874"/>
      <c r="T7" s="1874"/>
      <c r="U7" s="1874"/>
      <c r="V7" s="1874"/>
      <c r="W7" s="1874"/>
      <c r="X7" s="1874"/>
      <c r="Y7" s="1874"/>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4037</v>
      </c>
      <c r="C9" s="4"/>
      <c r="D9" s="29"/>
      <c r="E9" s="29"/>
      <c r="F9" s="29"/>
      <c r="G9" s="42"/>
      <c r="H9" s="147"/>
      <c r="I9" s="42"/>
      <c r="J9" s="42"/>
      <c r="K9" s="42"/>
      <c r="L9" s="42"/>
      <c r="M9" s="42"/>
      <c r="N9" s="42"/>
      <c r="O9" s="42"/>
      <c r="P9" s="42"/>
      <c r="Q9" s="1874"/>
      <c r="R9" s="1874"/>
      <c r="S9" s="1874"/>
      <c r="T9" s="1874"/>
      <c r="U9" s="1874"/>
      <c r="V9" s="1874"/>
      <c r="W9" s="1874"/>
      <c r="X9" s="1874"/>
      <c r="Y9" s="1874"/>
    </row>
    <row r="10" spans="1:25" s="35" customFormat="1" ht="12" customHeight="1" thickBot="1">
      <c r="A10" s="1128" t="s">
        <v>4038</v>
      </c>
      <c r="D10" s="29"/>
      <c r="E10" s="29"/>
      <c r="F10" s="29"/>
      <c r="G10" s="42"/>
      <c r="H10" s="147" t="s">
        <v>3708</v>
      </c>
      <c r="I10" s="42"/>
      <c r="J10" s="42"/>
      <c r="K10" s="42"/>
      <c r="L10" s="42"/>
      <c r="M10" s="1122" t="s">
        <v>3707</v>
      </c>
      <c r="N10" s="42"/>
      <c r="O10" s="42"/>
      <c r="P10" s="885">
        <f>IF(P12&lt;2,0,IF(AND(P12&gt;1,P12&lt;5),1,IF(P12&gt;4,P12-3)))</f>
        <v>0</v>
      </c>
      <c r="Q10" s="1874"/>
      <c r="R10" s="1874"/>
      <c r="S10" s="1874"/>
      <c r="T10" s="1874"/>
      <c r="U10" s="1874"/>
      <c r="V10" s="1874"/>
      <c r="W10" s="1874"/>
      <c r="X10" s="1874"/>
      <c r="Y10" s="187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3305</v>
      </c>
      <c r="B12" s="1141" t="s">
        <v>3306</v>
      </c>
      <c r="C12" s="923"/>
      <c r="D12" s="923"/>
      <c r="E12" s="236" t="s">
        <v>3313</v>
      </c>
      <c r="F12" s="4544" t="s">
        <v>4394</v>
      </c>
      <c r="G12" s="4544"/>
      <c r="H12" s="4544"/>
      <c r="I12" s="4544"/>
      <c r="J12" s="4544"/>
      <c r="K12" s="4544"/>
      <c r="L12" s="4544"/>
      <c r="M12" s="4544"/>
      <c r="N12" s="4544"/>
      <c r="O12" s="1142" t="s">
        <v>3687</v>
      </c>
      <c r="P12" s="1143">
        <f>SUM(P13:P31)</f>
        <v>0</v>
      </c>
      <c r="Q12" s="4623" t="s">
        <v>4441</v>
      </c>
      <c r="R12" s="4623"/>
      <c r="S12" s="4623"/>
      <c r="T12" s="4623"/>
      <c r="U12" s="4623"/>
      <c r="V12" s="1120"/>
    </row>
    <row r="13" spans="1:25" s="35" customFormat="1" ht="10.5" customHeight="1">
      <c r="A13" s="911" t="s">
        <v>1663</v>
      </c>
      <c r="B13" s="908" t="s">
        <v>3307</v>
      </c>
      <c r="C13" s="909"/>
      <c r="D13" s="910"/>
      <c r="E13" s="1136">
        <f>$O$103</f>
        <v>0</v>
      </c>
      <c r="F13" s="4545">
        <f>$A$109</f>
        <v>0</v>
      </c>
      <c r="G13" s="4546"/>
      <c r="H13" s="4546"/>
      <c r="I13" s="4546"/>
      <c r="J13" s="4546"/>
      <c r="K13" s="4546"/>
      <c r="L13" s="4546"/>
      <c r="M13" s="4546"/>
      <c r="N13" s="4546"/>
      <c r="O13" s="4546"/>
      <c r="P13" s="1149"/>
      <c r="Q13" s="4623"/>
      <c r="R13" s="4623"/>
      <c r="S13" s="4623"/>
      <c r="T13" s="4623"/>
      <c r="U13" s="4623"/>
      <c r="V13" s="1120"/>
    </row>
    <row r="14" spans="1:25" s="35" customFormat="1" ht="10.5" customHeight="1">
      <c r="A14" s="911" t="s">
        <v>495</v>
      </c>
      <c r="B14" s="738" t="s">
        <v>3910</v>
      </c>
      <c r="C14" s="853"/>
      <c r="D14" s="912"/>
      <c r="E14" s="1680">
        <f>$O$113</f>
        <v>0</v>
      </c>
      <c r="F14" s="4538">
        <f>$A$147</f>
        <v>0</v>
      </c>
      <c r="G14" s="4539"/>
      <c r="H14" s="4539"/>
      <c r="I14" s="4539"/>
      <c r="J14" s="4539"/>
      <c r="K14" s="4539"/>
      <c r="L14" s="4539"/>
      <c r="M14" s="4539"/>
      <c r="N14" s="4539"/>
      <c r="O14" s="4540"/>
      <c r="P14" s="1150"/>
      <c r="Q14" s="4623"/>
      <c r="R14" s="4623"/>
      <c r="S14" s="4623"/>
      <c r="T14" s="4623"/>
      <c r="U14" s="4623"/>
    </row>
    <row r="15" spans="1:25" s="35" customFormat="1" ht="10.5" customHeight="1">
      <c r="A15" s="911" t="s">
        <v>719</v>
      </c>
      <c r="B15" s="738" t="s">
        <v>3252</v>
      </c>
      <c r="C15" s="853"/>
      <c r="D15" s="912"/>
      <c r="E15" s="1680">
        <f>$O$152</f>
        <v>0</v>
      </c>
      <c r="F15" s="4538">
        <f>$A$165</f>
        <v>0</v>
      </c>
      <c r="G15" s="4539"/>
      <c r="H15" s="4539"/>
      <c r="I15" s="4539"/>
      <c r="J15" s="4539"/>
      <c r="K15" s="4539"/>
      <c r="L15" s="4539"/>
      <c r="M15" s="4539"/>
      <c r="N15" s="4539"/>
      <c r="O15" s="4540"/>
      <c r="P15" s="1150"/>
      <c r="Q15" s="1883"/>
      <c r="R15" s="1883"/>
      <c r="S15" s="1883"/>
      <c r="T15" s="1883"/>
      <c r="U15" s="1883"/>
    </row>
    <row r="16" spans="1:25" s="35" customFormat="1" ht="10.5" customHeight="1">
      <c r="A16" s="1523" t="s">
        <v>280</v>
      </c>
      <c r="B16" s="738" t="s">
        <v>3308</v>
      </c>
      <c r="C16" s="853"/>
      <c r="D16" s="912"/>
      <c r="E16" s="1138">
        <f>$O$169</f>
        <v>0</v>
      </c>
      <c r="F16" s="4538">
        <f>$A$186</f>
        <v>0</v>
      </c>
      <c r="G16" s="4539"/>
      <c r="H16" s="4539"/>
      <c r="I16" s="4539"/>
      <c r="J16" s="4539"/>
      <c r="K16" s="4539"/>
      <c r="L16" s="4539"/>
      <c r="M16" s="4539"/>
      <c r="N16" s="4539"/>
      <c r="O16" s="4540"/>
      <c r="P16" s="1150"/>
      <c r="Q16" s="1883"/>
      <c r="R16" s="1883"/>
      <c r="S16" s="1883"/>
      <c r="T16" s="1883"/>
      <c r="U16" s="1883"/>
    </row>
    <row r="17" spans="1:35" s="35" customFormat="1" ht="10.5" customHeight="1">
      <c r="A17" s="911" t="s">
        <v>400</v>
      </c>
      <c r="B17" s="918" t="s">
        <v>3309</v>
      </c>
      <c r="C17" s="919"/>
      <c r="D17" s="920"/>
      <c r="E17" s="1139" t="s">
        <v>1607</v>
      </c>
      <c r="F17" s="4548">
        <f>$A$201</f>
        <v>0</v>
      </c>
      <c r="G17" s="4549"/>
      <c r="H17" s="4549"/>
      <c r="I17" s="4549"/>
      <c r="J17" s="4549"/>
      <c r="K17" s="4549"/>
      <c r="L17" s="4549"/>
      <c r="M17" s="4549"/>
      <c r="N17" s="4549"/>
      <c r="O17" s="4550"/>
      <c r="P17" s="1150"/>
      <c r="Q17" s="1883"/>
      <c r="R17" s="1883"/>
      <c r="S17" s="1883"/>
      <c r="T17" s="1883"/>
      <c r="U17" s="1883"/>
    </row>
    <row r="18" spans="1:35" s="35" customFormat="1" ht="10.5" customHeight="1">
      <c r="A18" s="911" t="s">
        <v>342</v>
      </c>
      <c r="B18" s="738" t="s">
        <v>3911</v>
      </c>
      <c r="C18" s="853"/>
      <c r="D18" s="912"/>
      <c r="E18" s="1137">
        <f>$O$205</f>
        <v>0</v>
      </c>
      <c r="F18" s="4538">
        <f>$A$220</f>
        <v>0</v>
      </c>
      <c r="G18" s="4539"/>
      <c r="H18" s="4539"/>
      <c r="I18" s="4539"/>
      <c r="J18" s="4539"/>
      <c r="K18" s="4539"/>
      <c r="L18" s="4539"/>
      <c r="M18" s="4539"/>
      <c r="N18" s="4539"/>
      <c r="O18" s="4540"/>
      <c r="P18" s="1150"/>
      <c r="Q18" s="4594" t="str">
        <f>IF(OR($A$109="",$A$147="",$A$165="",$A$186="",$A$201="",$A$220="",$A$238="",$A$248="",$A$257="",$A$281="",$A$306="",$A$314="",$A$338="",$A$374="",$A$393="",$A$414="",$A$420="",$A$430="",$A$438=""),"Some Applicant Scoring Justification boxes are empty! Check to see if points claimed.","")</f>
        <v>Some Applicant Scoring Justification boxes are empty! Check to see if points claimed.</v>
      </c>
      <c r="R18" s="4595"/>
      <c r="S18" s="4595"/>
    </row>
    <row r="19" spans="1:35" s="35" customFormat="1" ht="10.5" customHeight="1">
      <c r="A19" s="911" t="s">
        <v>3913</v>
      </c>
      <c r="B19" s="738" t="s">
        <v>3179</v>
      </c>
      <c r="C19" s="853"/>
      <c r="D19" s="912"/>
      <c r="E19" s="1137">
        <f>$O$233</f>
        <v>0</v>
      </c>
      <c r="F19" s="4538">
        <f>$A$238</f>
        <v>0</v>
      </c>
      <c r="G19" s="4539"/>
      <c r="H19" s="4539"/>
      <c r="I19" s="4539"/>
      <c r="J19" s="4539"/>
      <c r="K19" s="4539"/>
      <c r="L19" s="4539"/>
      <c r="M19" s="4539"/>
      <c r="N19" s="4539"/>
      <c r="O19" s="4540"/>
      <c r="P19" s="1150"/>
      <c r="Q19" s="4594"/>
      <c r="R19" s="4595"/>
      <c r="S19" s="4595"/>
    </row>
    <row r="20" spans="1:35" s="35" customFormat="1" ht="10.5" customHeight="1">
      <c r="A20" s="911" t="s">
        <v>3924</v>
      </c>
      <c r="B20" s="738" t="s">
        <v>3914</v>
      </c>
      <c r="C20" s="853"/>
      <c r="D20" s="912"/>
      <c r="E20" s="1139">
        <f>$O$242</f>
        <v>0</v>
      </c>
      <c r="F20" s="4538">
        <f>$A$248</f>
        <v>0</v>
      </c>
      <c r="G20" s="4539"/>
      <c r="H20" s="4539"/>
      <c r="I20" s="4539"/>
      <c r="J20" s="4539"/>
      <c r="K20" s="4539"/>
      <c r="L20" s="4539"/>
      <c r="M20" s="4539"/>
      <c r="N20" s="4539"/>
      <c r="O20" s="4540"/>
      <c r="P20" s="1150"/>
      <c r="Q20" s="4594"/>
      <c r="R20" s="4595"/>
      <c r="S20" s="4595"/>
    </row>
    <row r="21" spans="1:35" s="35" customFormat="1" ht="10.5" customHeight="1">
      <c r="A21" s="917" t="s">
        <v>4141</v>
      </c>
      <c r="B21" s="918" t="s">
        <v>3915</v>
      </c>
      <c r="C21" s="919"/>
      <c r="D21" s="920"/>
      <c r="E21" s="1140">
        <f>$O$252</f>
        <v>0</v>
      </c>
      <c r="F21" s="4548">
        <f>$A$257</f>
        <v>0</v>
      </c>
      <c r="G21" s="4549"/>
      <c r="H21" s="4549"/>
      <c r="I21" s="4549"/>
      <c r="J21" s="4549"/>
      <c r="K21" s="4549"/>
      <c r="L21" s="4549"/>
      <c r="M21" s="4549"/>
      <c r="N21" s="4549"/>
      <c r="O21" s="4550"/>
      <c r="P21" s="1150"/>
      <c r="Q21" s="4594"/>
      <c r="R21" s="4595"/>
      <c r="S21" s="4595"/>
    </row>
    <row r="22" spans="1:35" s="35" customFormat="1" ht="10.5" customHeight="1">
      <c r="A22" s="911" t="s">
        <v>4533</v>
      </c>
      <c r="B22" s="738" t="s">
        <v>4445</v>
      </c>
      <c r="C22" s="853"/>
      <c r="D22" s="912"/>
      <c r="E22" s="1137">
        <f>$O$274</f>
        <v>0</v>
      </c>
      <c r="F22" s="4538">
        <f>$A$281</f>
        <v>0</v>
      </c>
      <c r="G22" s="4539"/>
      <c r="H22" s="4539"/>
      <c r="I22" s="4539"/>
      <c r="J22" s="4539"/>
      <c r="K22" s="4539"/>
      <c r="L22" s="4539"/>
      <c r="M22" s="4539"/>
      <c r="N22" s="4539"/>
      <c r="O22" s="4540"/>
      <c r="P22" s="1150"/>
      <c r="Q22" s="4594"/>
      <c r="R22" s="4595"/>
      <c r="S22" s="4595"/>
    </row>
    <row r="23" spans="1:35" s="35" customFormat="1" ht="10.5" customHeight="1">
      <c r="A23" s="911" t="s">
        <v>4535</v>
      </c>
      <c r="B23" s="738" t="s">
        <v>4534</v>
      </c>
      <c r="C23" s="853"/>
      <c r="D23" s="912"/>
      <c r="E23" s="1137">
        <f>$O$285</f>
        <v>0</v>
      </c>
      <c r="F23" s="4538">
        <f>$A$306</f>
        <v>0</v>
      </c>
      <c r="G23" s="4539"/>
      <c r="H23" s="4539"/>
      <c r="I23" s="4539"/>
      <c r="J23" s="4539"/>
      <c r="K23" s="4539"/>
      <c r="L23" s="4539"/>
      <c r="M23" s="4539"/>
      <c r="N23" s="4539"/>
      <c r="O23" s="4540"/>
      <c r="P23" s="1150"/>
      <c r="Q23" s="4594"/>
      <c r="R23" s="4595"/>
      <c r="S23" s="4595"/>
    </row>
    <row r="24" spans="1:35" s="35" customFormat="1" ht="10.5" customHeight="1">
      <c r="A24" s="1523" t="s">
        <v>3282</v>
      </c>
      <c r="B24" s="1796" t="s">
        <v>4451</v>
      </c>
      <c r="C24" s="1797"/>
      <c r="D24" s="1798"/>
      <c r="E24" s="1138">
        <f>$O$310</f>
        <v>0</v>
      </c>
      <c r="F24" s="4588">
        <f>$A$314</f>
        <v>0</v>
      </c>
      <c r="G24" s="4589"/>
      <c r="H24" s="4589"/>
      <c r="I24" s="4589"/>
      <c r="J24" s="4589"/>
      <c r="K24" s="4589"/>
      <c r="L24" s="4589"/>
      <c r="M24" s="4589"/>
      <c r="N24" s="4589"/>
      <c r="O24" s="4590"/>
      <c r="P24" s="1150"/>
      <c r="Q24" s="4594"/>
      <c r="R24" s="4595"/>
      <c r="S24" s="4595"/>
    </row>
    <row r="25" spans="1:35" s="35" customFormat="1" ht="10.5" customHeight="1">
      <c r="A25" s="911" t="s">
        <v>3286</v>
      </c>
      <c r="B25" s="738" t="s">
        <v>3310</v>
      </c>
      <c r="C25" s="853"/>
      <c r="D25" s="912"/>
      <c r="E25" s="1137">
        <f>$O$334</f>
        <v>0</v>
      </c>
      <c r="F25" s="4538">
        <f>$A$338</f>
        <v>0</v>
      </c>
      <c r="G25" s="4539"/>
      <c r="H25" s="4539"/>
      <c r="I25" s="4539"/>
      <c r="J25" s="4539"/>
      <c r="K25" s="4539"/>
      <c r="L25" s="4539"/>
      <c r="M25" s="4539"/>
      <c r="N25" s="4539"/>
      <c r="O25" s="4540"/>
      <c r="P25" s="1150"/>
      <c r="Q25" s="4594"/>
      <c r="R25" s="4595"/>
      <c r="S25" s="4595"/>
    </row>
    <row r="26" spans="1:35" s="35" customFormat="1" ht="10.5" customHeight="1">
      <c r="A26" s="911" t="s">
        <v>3289</v>
      </c>
      <c r="B26" s="738" t="s">
        <v>3311</v>
      </c>
      <c r="C26" s="853"/>
      <c r="D26" s="912"/>
      <c r="E26" s="1137">
        <f>$O$342</f>
        <v>0</v>
      </c>
      <c r="F26" s="4538">
        <f>$A$374</f>
        <v>0</v>
      </c>
      <c r="G26" s="4539"/>
      <c r="H26" s="4539"/>
      <c r="I26" s="4539"/>
      <c r="J26" s="4539"/>
      <c r="K26" s="4539"/>
      <c r="L26" s="4539"/>
      <c r="M26" s="4539"/>
      <c r="N26" s="4539"/>
      <c r="O26" s="4540"/>
      <c r="P26" s="1150"/>
      <c r="Q26" s="4594"/>
      <c r="R26" s="4595"/>
      <c r="S26" s="4595"/>
    </row>
    <row r="27" spans="1:35" s="35" customFormat="1" ht="10.5" customHeight="1">
      <c r="A27" s="911" t="s">
        <v>3290</v>
      </c>
      <c r="B27" s="738" t="s">
        <v>3312</v>
      </c>
      <c r="C27" s="853"/>
      <c r="D27" s="912"/>
      <c r="E27" s="1139">
        <f>$O$378</f>
        <v>0</v>
      </c>
      <c r="F27" s="4538">
        <f>$A$393</f>
        <v>0</v>
      </c>
      <c r="G27" s="4539"/>
      <c r="H27" s="4539"/>
      <c r="I27" s="4539"/>
      <c r="J27" s="4539"/>
      <c r="K27" s="4539"/>
      <c r="L27" s="4539"/>
      <c r="M27" s="4539"/>
      <c r="N27" s="4539"/>
      <c r="O27" s="4540"/>
      <c r="P27" s="1150"/>
      <c r="Q27" s="1873"/>
      <c r="R27" s="1539"/>
      <c r="S27" s="1539"/>
      <c r="AA27" s="4"/>
      <c r="AB27" s="4"/>
      <c r="AC27" s="4"/>
      <c r="AD27" s="4"/>
      <c r="AE27" s="4"/>
      <c r="AF27" s="4"/>
    </row>
    <row r="28" spans="1:35" s="35" customFormat="1" ht="10.5" customHeight="1">
      <c r="A28" s="913" t="s">
        <v>3292</v>
      </c>
      <c r="B28" s="914" t="s">
        <v>4532</v>
      </c>
      <c r="C28" s="915"/>
      <c r="D28" s="916"/>
      <c r="E28" s="1535">
        <f>$O$405</f>
        <v>2</v>
      </c>
      <c r="F28" s="4541">
        <f>$A$414</f>
        <v>0</v>
      </c>
      <c r="G28" s="4542"/>
      <c r="H28" s="4542"/>
      <c r="I28" s="4542"/>
      <c r="J28" s="4542"/>
      <c r="K28" s="4542"/>
      <c r="L28" s="4542"/>
      <c r="M28" s="4542"/>
      <c r="N28" s="4542"/>
      <c r="O28" s="4543"/>
      <c r="P28" s="1151"/>
      <c r="Q28" s="1873"/>
      <c r="R28" s="1539"/>
      <c r="S28" s="1539"/>
      <c r="X28" s="4"/>
      <c r="Y28" s="4"/>
      <c r="Z28" s="4"/>
      <c r="AA28" s="4"/>
      <c r="AB28" s="4"/>
      <c r="AC28" s="4"/>
      <c r="AD28" s="4"/>
      <c r="AE28" s="4"/>
      <c r="AF28" s="4"/>
      <c r="AG28" s="4"/>
      <c r="AH28" s="4"/>
      <c r="AI28" s="4"/>
    </row>
    <row r="29" spans="1:35" s="35" customFormat="1" ht="10.5" customHeight="1">
      <c r="A29" s="911" t="s">
        <v>3293</v>
      </c>
      <c r="B29" s="738" t="s">
        <v>4034</v>
      </c>
      <c r="C29" s="853"/>
      <c r="D29" s="912"/>
      <c r="E29" s="1137">
        <f>$O$418</f>
        <v>0</v>
      </c>
      <c r="F29" s="4538">
        <f>$A$420</f>
        <v>0</v>
      </c>
      <c r="G29" s="4539"/>
      <c r="H29" s="4539"/>
      <c r="I29" s="4539"/>
      <c r="J29" s="4539"/>
      <c r="K29" s="4539"/>
      <c r="L29" s="4539"/>
      <c r="M29" s="4539"/>
      <c r="N29" s="4539"/>
      <c r="O29" s="4540"/>
      <c r="P29" s="1150"/>
      <c r="Q29" s="1873"/>
      <c r="R29" s="1539"/>
      <c r="S29" s="1539"/>
    </row>
    <row r="30" spans="1:35" s="35" customFormat="1" ht="10.5" customHeight="1">
      <c r="A30" s="911" t="s">
        <v>3680</v>
      </c>
      <c r="B30" s="738" t="s">
        <v>4449</v>
      </c>
      <c r="C30" s="853"/>
      <c r="D30" s="912"/>
      <c r="E30" s="1137">
        <f>$O$428</f>
        <v>0</v>
      </c>
      <c r="F30" s="4538">
        <f>$A$430</f>
        <v>0</v>
      </c>
      <c r="G30" s="4539"/>
      <c r="H30" s="4539"/>
      <c r="I30" s="4539"/>
      <c r="J30" s="4539"/>
      <c r="K30" s="4539"/>
      <c r="L30" s="4539"/>
      <c r="M30" s="4539"/>
      <c r="N30" s="4539"/>
      <c r="O30" s="4540"/>
      <c r="P30" s="1150"/>
      <c r="Q30" s="1873"/>
      <c r="R30" s="1539"/>
      <c r="S30" s="1539"/>
      <c r="AA30" s="3532" t="s">
        <v>4459</v>
      </c>
      <c r="AB30" s="3532"/>
      <c r="AC30" s="3532"/>
      <c r="AD30" s="3532"/>
      <c r="AE30" s="3532"/>
      <c r="AF30" s="3532"/>
    </row>
    <row r="31" spans="1:35" s="35" customFormat="1" ht="10.5" customHeight="1">
      <c r="A31" s="913" t="s">
        <v>4452</v>
      </c>
      <c r="B31" s="914" t="s">
        <v>4450</v>
      </c>
      <c r="C31" s="915"/>
      <c r="D31" s="916"/>
      <c r="E31" s="1535">
        <f>$O$434</f>
        <v>0</v>
      </c>
      <c r="F31" s="4541">
        <f>$A$438</f>
        <v>0</v>
      </c>
      <c r="G31" s="4542"/>
      <c r="H31" s="4542"/>
      <c r="I31" s="4542"/>
      <c r="J31" s="4542"/>
      <c r="K31" s="4542"/>
      <c r="L31" s="4542"/>
      <c r="M31" s="4542"/>
      <c r="N31" s="4542"/>
      <c r="O31" s="4543"/>
      <c r="P31" s="1151"/>
      <c r="Q31" s="1873"/>
      <c r="R31" s="1539"/>
      <c r="S31" s="1539"/>
      <c r="X31" s="3532" t="s">
        <v>4460</v>
      </c>
      <c r="Y31" s="3532"/>
      <c r="Z31" s="3532"/>
      <c r="AA31" s="3532"/>
      <c r="AB31" s="3532"/>
      <c r="AC31" s="3532"/>
      <c r="AD31" s="3532" t="s">
        <v>4461</v>
      </c>
      <c r="AE31" s="3532"/>
      <c r="AF31" s="3532"/>
      <c r="AG31" s="3532"/>
      <c r="AH31" s="3532"/>
      <c r="AI31" s="3532"/>
    </row>
    <row r="32" spans="1:35" s="115" customFormat="1" ht="5.25" customHeight="1">
      <c r="C32" s="68"/>
      <c r="D32" s="68"/>
      <c r="E32" s="68"/>
      <c r="F32" s="68"/>
      <c r="G32" s="1423"/>
      <c r="H32" s="68"/>
      <c r="I32" s="68"/>
      <c r="J32" s="68"/>
      <c r="K32" s="68"/>
    </row>
    <row r="33" spans="1:46" s="115" customFormat="1" ht="12.75" customHeight="1">
      <c r="A33" s="120" t="s">
        <v>688</v>
      </c>
      <c r="B33" s="83" t="s">
        <v>4039</v>
      </c>
      <c r="C33" s="70"/>
      <c r="D33" s="68"/>
      <c r="E33" s="68"/>
      <c r="F33" s="68"/>
      <c r="G33" s="4599" t="s">
        <v>4027</v>
      </c>
      <c r="H33" s="4599"/>
      <c r="I33" s="4596" t="s">
        <v>4404</v>
      </c>
      <c r="J33" s="4597"/>
      <c r="K33" s="4597"/>
      <c r="L33" s="4598"/>
      <c r="M33" s="4551" t="s">
        <v>4040</v>
      </c>
      <c r="N33" s="4551"/>
      <c r="O33" s="4551"/>
      <c r="P33" s="4551"/>
      <c r="Q33" s="435"/>
      <c r="R33" s="435"/>
      <c r="S33" s="83" t="s">
        <v>4039</v>
      </c>
      <c r="T33" s="435"/>
      <c r="U33" s="435"/>
      <c r="V33" s="435"/>
      <c r="X33" s="4582" t="s">
        <v>4027</v>
      </c>
      <c r="Y33" s="4584"/>
      <c r="Z33" s="4582" t="s">
        <v>4404</v>
      </c>
      <c r="AA33" s="4583"/>
      <c r="AB33" s="4583"/>
      <c r="AC33" s="4584"/>
      <c r="AD33" s="4591" t="s">
        <v>4027</v>
      </c>
      <c r="AE33" s="4592"/>
      <c r="AF33" s="4593" t="s">
        <v>4404</v>
      </c>
      <c r="AG33" s="4591"/>
      <c r="AH33" s="4591"/>
      <c r="AI33" s="4592"/>
    </row>
    <row r="34" spans="1:46" s="115" customFormat="1" ht="11.25" customHeight="1">
      <c r="A34" s="44"/>
      <c r="B34" s="29"/>
      <c r="C34" s="44"/>
      <c r="D34" s="44"/>
      <c r="E34" s="44"/>
      <c r="F34" s="44"/>
      <c r="G34" s="1634">
        <v>0.09</v>
      </c>
      <c r="H34" s="1634">
        <v>0.04</v>
      </c>
      <c r="I34" s="1634">
        <v>0.04</v>
      </c>
      <c r="J34" s="1634" t="s">
        <v>4442</v>
      </c>
      <c r="K34" s="1634" t="s">
        <v>4443</v>
      </c>
      <c r="L34" s="1634" t="s">
        <v>4444</v>
      </c>
      <c r="M34" s="4585" t="e">
        <f>#REF!</f>
        <v>#REF!</v>
      </c>
      <c r="N34" s="4586"/>
      <c r="O34" s="4586"/>
      <c r="P34" s="4587"/>
      <c r="Q34" s="435"/>
      <c r="R34" s="44"/>
      <c r="S34" s="29"/>
      <c r="T34" s="44"/>
      <c r="U34" s="44"/>
      <c r="V34" s="44"/>
      <c r="W34" s="44"/>
      <c r="X34" s="1634">
        <v>0.09</v>
      </c>
      <c r="Y34" s="1634">
        <v>0.04</v>
      </c>
      <c r="Z34" s="1634">
        <v>0.04</v>
      </c>
      <c r="AA34" s="1634" t="s">
        <v>4442</v>
      </c>
      <c r="AB34" s="1634" t="s">
        <v>4443</v>
      </c>
      <c r="AC34" s="1634" t="s">
        <v>4444</v>
      </c>
      <c r="AD34" s="1634">
        <v>0.09</v>
      </c>
      <c r="AE34" s="1634">
        <v>0.04</v>
      </c>
      <c r="AF34" s="1634">
        <v>0.04</v>
      </c>
      <c r="AG34" s="1634" t="s">
        <v>4442</v>
      </c>
      <c r="AH34" s="1634" t="s">
        <v>4443</v>
      </c>
      <c r="AI34" s="1634" t="s">
        <v>4444</v>
      </c>
    </row>
    <row r="35" spans="1:46" s="115" customFormat="1" ht="10.5" customHeight="1">
      <c r="A35" s="646" t="s">
        <v>572</v>
      </c>
      <c r="B35" s="1635" t="s">
        <v>4642</v>
      </c>
      <c r="C35" s="1636"/>
      <c r="D35" s="1637"/>
      <c r="E35" s="1637"/>
      <c r="F35" s="1637"/>
      <c r="G35" s="1638">
        <v>0</v>
      </c>
      <c r="H35" s="1639">
        <v>0</v>
      </c>
      <c r="I35" s="1902">
        <v>0</v>
      </c>
      <c r="J35" s="1903">
        <v>0</v>
      </c>
      <c r="K35" s="1903">
        <v>0</v>
      </c>
      <c r="L35" s="1904">
        <v>0</v>
      </c>
      <c r="Q35" s="142"/>
      <c r="R35" s="646" t="s">
        <v>572</v>
      </c>
      <c r="S35" s="1635" t="s">
        <v>4642</v>
      </c>
      <c r="T35" s="1635"/>
      <c r="U35" s="1767"/>
      <c r="V35" s="1767"/>
      <c r="W35" s="1767"/>
      <c r="X35" s="1693">
        <v>0</v>
      </c>
      <c r="Y35" s="1736">
        <v>0</v>
      </c>
      <c r="Z35" s="1737">
        <v>0</v>
      </c>
      <c r="AA35" s="1740">
        <v>0</v>
      </c>
      <c r="AB35" s="1740">
        <v>0</v>
      </c>
      <c r="AC35" s="1741">
        <v>0</v>
      </c>
      <c r="AD35" s="1686">
        <f t="shared" ref="AD35:AI35" si="0">-$P$10</f>
        <v>0</v>
      </c>
      <c r="AE35" s="1770">
        <f t="shared" si="0"/>
        <v>0</v>
      </c>
      <c r="AF35" s="1737">
        <f t="shared" si="0"/>
        <v>0</v>
      </c>
      <c r="AG35" s="1740">
        <f t="shared" si="0"/>
        <v>0</v>
      </c>
      <c r="AH35" s="1740">
        <f t="shared" si="0"/>
        <v>0</v>
      </c>
      <c r="AI35" s="1770">
        <f t="shared" si="0"/>
        <v>0</v>
      </c>
    </row>
    <row r="36" spans="1:46" s="115" customFormat="1" ht="10.5" customHeight="1">
      <c r="A36" s="646" t="s">
        <v>690</v>
      </c>
      <c r="B36" s="1635" t="s">
        <v>4028</v>
      </c>
      <c r="C36" s="1636"/>
      <c r="D36" s="1637"/>
      <c r="E36" s="1637"/>
      <c r="F36" s="1637"/>
      <c r="G36" s="1638">
        <v>10</v>
      </c>
      <c r="H36" s="1639">
        <v>10</v>
      </c>
      <c r="I36" s="1638">
        <v>10</v>
      </c>
      <c r="J36" s="1905">
        <v>10</v>
      </c>
      <c r="K36" s="1730">
        <v>10</v>
      </c>
      <c r="L36" s="1644">
        <v>10</v>
      </c>
      <c r="Q36" s="142"/>
      <c r="R36" s="646" t="s">
        <v>690</v>
      </c>
      <c r="S36" s="1635" t="s">
        <v>4028</v>
      </c>
      <c r="T36" s="1635"/>
      <c r="U36" s="1767"/>
      <c r="V36" s="1767"/>
      <c r="W36" s="1767"/>
      <c r="X36" s="1693">
        <f>O64</f>
        <v>10</v>
      </c>
      <c r="Y36" s="1736">
        <f>O64</f>
        <v>10</v>
      </c>
      <c r="Z36" s="1683">
        <f>O64</f>
        <v>10</v>
      </c>
      <c r="AA36" s="1731">
        <f>O64</f>
        <v>10</v>
      </c>
      <c r="AB36" s="1731">
        <f>O64</f>
        <v>10</v>
      </c>
      <c r="AC36" s="1732">
        <f>O64</f>
        <v>10</v>
      </c>
      <c r="AD36" s="1687">
        <f>P64</f>
        <v>10</v>
      </c>
      <c r="AE36" s="1691">
        <f>P64</f>
        <v>10</v>
      </c>
      <c r="AF36" s="1683">
        <f>P64</f>
        <v>10</v>
      </c>
      <c r="AG36" s="1731">
        <f>P64</f>
        <v>10</v>
      </c>
      <c r="AH36" s="1731">
        <f>P64</f>
        <v>10</v>
      </c>
      <c r="AI36" s="1691">
        <f>P64</f>
        <v>10</v>
      </c>
    </row>
    <row r="37" spans="1:46" s="115" customFormat="1" ht="10.5" customHeight="1">
      <c r="A37" s="646" t="s">
        <v>1661</v>
      </c>
      <c r="B37" s="1640" t="s">
        <v>4029</v>
      </c>
      <c r="C37" s="1641"/>
      <c r="D37" s="1642"/>
      <c r="E37" s="1642"/>
      <c r="F37" s="1642"/>
      <c r="G37" s="1643">
        <v>3</v>
      </c>
      <c r="H37" s="1644">
        <v>3</v>
      </c>
      <c r="I37" s="1643"/>
      <c r="J37" s="1730"/>
      <c r="K37" s="1730"/>
      <c r="L37" s="1644"/>
      <c r="M37" s="258" t="s">
        <v>4041</v>
      </c>
      <c r="N37" s="142"/>
      <c r="O37" s="142"/>
      <c r="P37" s="1875" t="e">
        <f>IF(OR($M$34="9% Credit Competitive Round only", $M$34="9% Credit &amp; HOME"),"9%",IF(OR($M$34="4% Credit/TE Bond", $M$34="4% Credit/TE Bond &amp; HOME", $M$34="4% Credit/TE Bond &amp; HOME NOFA", $M$34="4% Credit &amp; NHTF", $M$34="4% Credit &amp; NHTF &amp; HOME"),"4%",""))</f>
        <v>#REF!</v>
      </c>
      <c r="Q37" s="142"/>
      <c r="R37" s="646" t="s">
        <v>1661</v>
      </c>
      <c r="S37" s="1640" t="s">
        <v>4029</v>
      </c>
      <c r="T37" s="1640"/>
      <c r="U37" s="1768"/>
      <c r="V37" s="1768"/>
      <c r="W37" s="1768"/>
      <c r="X37" s="1683" t="e">
        <f>O89</f>
        <v>#REF!</v>
      </c>
      <c r="Y37" s="1691" t="e">
        <f>O89</f>
        <v>#REF!</v>
      </c>
      <c r="Z37" s="1683"/>
      <c r="AA37" s="1730"/>
      <c r="AB37" s="1731"/>
      <c r="AC37" s="1732"/>
      <c r="AD37" s="1687" t="e">
        <f>P89</f>
        <v>#REF!</v>
      </c>
      <c r="AE37" s="1691" t="e">
        <f>P89</f>
        <v>#REF!</v>
      </c>
      <c r="AF37" s="1683"/>
      <c r="AG37" s="1730"/>
      <c r="AH37" s="1731"/>
      <c r="AI37" s="1691"/>
    </row>
    <row r="38" spans="1:46" s="115" customFormat="1" ht="10.5" customHeight="1">
      <c r="A38" s="646" t="s">
        <v>1663</v>
      </c>
      <c r="B38" s="1640" t="s">
        <v>3307</v>
      </c>
      <c r="C38" s="1641"/>
      <c r="D38" s="1642"/>
      <c r="E38" s="1642"/>
      <c r="F38" s="1642"/>
      <c r="G38" s="1643">
        <v>20</v>
      </c>
      <c r="H38" s="1644">
        <v>12</v>
      </c>
      <c r="I38" s="1643"/>
      <c r="J38" s="1730"/>
      <c r="K38" s="1730"/>
      <c r="L38" s="1644"/>
      <c r="Q38" s="142"/>
      <c r="R38" s="646" t="s">
        <v>1663</v>
      </c>
      <c r="S38" s="1640" t="s">
        <v>3307</v>
      </c>
      <c r="T38" s="1640"/>
      <c r="U38" s="1768"/>
      <c r="V38" s="1768"/>
      <c r="W38" s="1768"/>
      <c r="X38" s="1684">
        <f>O103</f>
        <v>0</v>
      </c>
      <c r="Y38" s="1692">
        <f>O103</f>
        <v>0</v>
      </c>
      <c r="Z38" s="1643"/>
      <c r="AA38" s="1730"/>
      <c r="AB38" s="1730"/>
      <c r="AC38" s="1733"/>
      <c r="AD38" s="1688">
        <f>P103</f>
        <v>0</v>
      </c>
      <c r="AE38" s="1692">
        <f>P103</f>
        <v>0</v>
      </c>
      <c r="AF38" s="1643"/>
      <c r="AG38" s="1730"/>
      <c r="AH38" s="1730"/>
      <c r="AI38" s="1644"/>
    </row>
    <row r="39" spans="1:46" s="115" customFormat="1" ht="10.5" customHeight="1">
      <c r="A39" s="646" t="s">
        <v>495</v>
      </c>
      <c r="B39" s="1640" t="s">
        <v>3910</v>
      </c>
      <c r="C39" s="1641"/>
      <c r="D39" s="1642"/>
      <c r="E39" s="1642"/>
      <c r="F39" s="1642"/>
      <c r="G39" s="1643">
        <v>6</v>
      </c>
      <c r="H39" s="1644">
        <v>4</v>
      </c>
      <c r="I39" s="1643"/>
      <c r="J39" s="1730"/>
      <c r="K39" s="1730"/>
      <c r="L39" s="1644"/>
      <c r="Q39" s="142"/>
      <c r="R39" s="646" t="s">
        <v>495</v>
      </c>
      <c r="S39" s="1640" t="s">
        <v>3910</v>
      </c>
      <c r="T39" s="1640"/>
      <c r="U39" s="1768"/>
      <c r="V39" s="1768"/>
      <c r="W39" s="1768"/>
      <c r="X39" s="1684">
        <f>O113</f>
        <v>0</v>
      </c>
      <c r="Y39" s="1692">
        <f>O113</f>
        <v>0</v>
      </c>
      <c r="Z39" s="1643"/>
      <c r="AA39" s="1730"/>
      <c r="AB39" s="1730"/>
      <c r="AC39" s="1733"/>
      <c r="AD39" s="1688">
        <f>P113</f>
        <v>0</v>
      </c>
      <c r="AE39" s="1692">
        <f>P113</f>
        <v>0</v>
      </c>
      <c r="AF39" s="1643"/>
      <c r="AG39" s="1730"/>
      <c r="AH39" s="1730"/>
      <c r="AI39" s="1644"/>
    </row>
    <row r="40" spans="1:46" s="115" customFormat="1" ht="10.5" customHeight="1">
      <c r="A40" s="646" t="s">
        <v>719</v>
      </c>
      <c r="B40" s="1640" t="s">
        <v>3252</v>
      </c>
      <c r="C40" s="1641"/>
      <c r="D40" s="1642"/>
      <c r="E40" s="1642"/>
      <c r="F40" s="1642"/>
      <c r="G40" s="1643">
        <v>3</v>
      </c>
      <c r="H40" s="1644">
        <v>2</v>
      </c>
      <c r="I40" s="1643"/>
      <c r="J40" s="1730"/>
      <c r="K40" s="1730"/>
      <c r="L40" s="1644"/>
      <c r="M40" s="4338" t="s">
        <v>4458</v>
      </c>
      <c r="N40" s="4339"/>
      <c r="O40" s="4339"/>
      <c r="P40" s="4339"/>
      <c r="Q40" s="142"/>
      <c r="R40" s="646" t="s">
        <v>719</v>
      </c>
      <c r="S40" s="1640" t="s">
        <v>3252</v>
      </c>
      <c r="T40" s="1640"/>
      <c r="U40" s="1768"/>
      <c r="V40" s="1768"/>
      <c r="W40" s="1768"/>
      <c r="X40" s="1643">
        <f>O152</f>
        <v>0</v>
      </c>
      <c r="Y40" s="1644">
        <f>O152</f>
        <v>0</v>
      </c>
      <c r="Z40" s="1643"/>
      <c r="AA40" s="1730"/>
      <c r="AB40" s="1730"/>
      <c r="AC40" s="1733"/>
      <c r="AD40" s="1682">
        <f>P152</f>
        <v>0</v>
      </c>
      <c r="AE40" s="1644">
        <f>P152</f>
        <v>0</v>
      </c>
      <c r="AF40" s="1643"/>
      <c r="AG40" s="1730"/>
      <c r="AH40" s="1730"/>
      <c r="AI40" s="1644"/>
    </row>
    <row r="41" spans="1:46" s="115" customFormat="1" ht="10.5" customHeight="1">
      <c r="A41" s="646" t="s">
        <v>280</v>
      </c>
      <c r="B41" s="1640" t="s">
        <v>3308</v>
      </c>
      <c r="C41" s="1641"/>
      <c r="D41" s="1642"/>
      <c r="E41" s="1642"/>
      <c r="F41" s="1642"/>
      <c r="G41" s="1643">
        <v>7</v>
      </c>
      <c r="H41" s="1644">
        <v>5</v>
      </c>
      <c r="I41" s="1643"/>
      <c r="J41" s="1730"/>
      <c r="K41" s="1730"/>
      <c r="L41" s="1644"/>
      <c r="M41" s="4338"/>
      <c r="N41" s="4339"/>
      <c r="O41" s="4339"/>
      <c r="P41" s="4339"/>
      <c r="Q41" s="142"/>
      <c r="R41" s="646" t="s">
        <v>280</v>
      </c>
      <c r="S41" s="1640" t="s">
        <v>3308</v>
      </c>
      <c r="T41" s="1640"/>
      <c r="U41" s="1768"/>
      <c r="V41" s="1768"/>
      <c r="W41" s="1768"/>
      <c r="X41" s="1683">
        <f>O169</f>
        <v>0</v>
      </c>
      <c r="Y41" s="1691">
        <f>O169</f>
        <v>0</v>
      </c>
      <c r="Z41" s="1643"/>
      <c r="AA41" s="1730"/>
      <c r="AB41" s="1730"/>
      <c r="AC41" s="1733"/>
      <c r="AD41" s="1687">
        <f>P169</f>
        <v>0</v>
      </c>
      <c r="AE41" s="1691">
        <f>P169</f>
        <v>0</v>
      </c>
      <c r="AF41" s="1643"/>
      <c r="AG41" s="1730"/>
      <c r="AH41" s="1730"/>
      <c r="AI41" s="1644"/>
    </row>
    <row r="42" spans="1:46" s="115" customFormat="1" ht="10.5" customHeight="1">
      <c r="A42" s="646" t="s">
        <v>400</v>
      </c>
      <c r="B42" s="1640" t="s">
        <v>3309</v>
      </c>
      <c r="C42" s="1641"/>
      <c r="D42" s="1642"/>
      <c r="E42" s="1642"/>
      <c r="F42" s="1642"/>
      <c r="G42" s="1643">
        <v>3</v>
      </c>
      <c r="H42" s="1644"/>
      <c r="I42" s="1643"/>
      <c r="J42" s="1730"/>
      <c r="K42" s="1730"/>
      <c r="L42" s="1644"/>
      <c r="M42" s="147" t="s">
        <v>4453</v>
      </c>
      <c r="N42" s="147"/>
      <c r="O42" s="147"/>
      <c r="P42" s="1173"/>
      <c r="Q42" s="142"/>
      <c r="R42" s="646" t="s">
        <v>400</v>
      </c>
      <c r="S42" s="1640" t="s">
        <v>3309</v>
      </c>
      <c r="T42" s="1640"/>
      <c r="U42" s="1768"/>
      <c r="V42" s="1768"/>
      <c r="W42" s="1768"/>
      <c r="X42" s="1685"/>
      <c r="Y42" s="1690"/>
      <c r="Z42" s="1685"/>
      <c r="AA42" s="1734"/>
      <c r="AB42" s="1734"/>
      <c r="AC42" s="1735"/>
      <c r="AD42" s="1687">
        <f>P190</f>
        <v>0</v>
      </c>
      <c r="AE42" s="1644"/>
      <c r="AF42" s="1643"/>
      <c r="AG42" s="1730"/>
      <c r="AH42" s="1730"/>
      <c r="AI42" s="1644"/>
    </row>
    <row r="43" spans="1:46" s="115" customFormat="1" ht="10.5" customHeight="1">
      <c r="A43" s="646" t="s">
        <v>342</v>
      </c>
      <c r="B43" s="1640" t="s">
        <v>3911</v>
      </c>
      <c r="C43" s="1641"/>
      <c r="D43" s="1642"/>
      <c r="E43" s="1642"/>
      <c r="F43" s="1642"/>
      <c r="G43" s="1643">
        <v>10</v>
      </c>
      <c r="H43" s="1644">
        <v>5</v>
      </c>
      <c r="I43" s="1643"/>
      <c r="J43" s="1730"/>
      <c r="K43" s="1730"/>
      <c r="L43" s="1644"/>
      <c r="M43" s="147" t="s">
        <v>3224</v>
      </c>
      <c r="N43" s="147"/>
      <c r="O43" s="147"/>
      <c r="P43" s="810"/>
      <c r="Q43" s="142"/>
      <c r="R43" s="646" t="s">
        <v>342</v>
      </c>
      <c r="S43" s="1640" t="s">
        <v>3911</v>
      </c>
      <c r="T43" s="1640"/>
      <c r="U43" s="1768"/>
      <c r="V43" s="1768"/>
      <c r="W43" s="1768"/>
      <c r="X43" s="1683">
        <f>O205</f>
        <v>0</v>
      </c>
      <c r="Y43" s="1691">
        <f>O205</f>
        <v>0</v>
      </c>
      <c r="Z43" s="1643"/>
      <c r="AA43" s="1730"/>
      <c r="AB43" s="1730"/>
      <c r="AC43" s="1733"/>
      <c r="AD43" s="1687">
        <f>P205</f>
        <v>0</v>
      </c>
      <c r="AE43" s="1691">
        <f>P205</f>
        <v>0</v>
      </c>
      <c r="AF43" s="1643"/>
      <c r="AG43" s="1730"/>
      <c r="AH43" s="1730"/>
      <c r="AI43" s="1644"/>
    </row>
    <row r="44" spans="1:46" s="115" customFormat="1" ht="10.5" customHeight="1">
      <c r="A44" s="646" t="s">
        <v>343</v>
      </c>
      <c r="B44" s="1640" t="s">
        <v>4030</v>
      </c>
      <c r="C44" s="1641"/>
      <c r="D44" s="1642"/>
      <c r="E44" s="1642"/>
      <c r="F44" s="1642"/>
      <c r="G44" s="1643">
        <v>1</v>
      </c>
      <c r="H44" s="1644"/>
      <c r="I44" s="1643"/>
      <c r="J44" s="1730"/>
      <c r="K44" s="1730"/>
      <c r="L44" s="1644"/>
      <c r="M44" s="1742" t="s">
        <v>4045</v>
      </c>
      <c r="N44" s="223"/>
      <c r="O44" s="223"/>
      <c r="P44" s="805"/>
      <c r="Q44" s="142"/>
      <c r="R44" s="646" t="s">
        <v>343</v>
      </c>
      <c r="S44" s="1640" t="s">
        <v>4030</v>
      </c>
      <c r="T44" s="1640"/>
      <c r="U44" s="1768"/>
      <c r="V44" s="1768"/>
      <c r="W44" s="1768"/>
      <c r="X44" s="1683">
        <f>O225</f>
        <v>0</v>
      </c>
      <c r="Y44" s="1644"/>
      <c r="Z44" s="1643"/>
      <c r="AA44" s="1730"/>
      <c r="AB44" s="1730"/>
      <c r="AC44" s="1733"/>
      <c r="AD44" s="1687">
        <f>P225</f>
        <v>0</v>
      </c>
      <c r="AE44" s="1644"/>
      <c r="AF44" s="1643"/>
      <c r="AG44" s="1730"/>
      <c r="AH44" s="1730"/>
      <c r="AI44" s="1644"/>
    </row>
    <row r="45" spans="1:46" s="115" customFormat="1" ht="10.5" customHeight="1">
      <c r="A45" s="646" t="s">
        <v>344</v>
      </c>
      <c r="B45" s="1640" t="s">
        <v>3179</v>
      </c>
      <c r="C45" s="1641"/>
      <c r="D45" s="1642"/>
      <c r="E45" s="1642"/>
      <c r="F45" s="1642"/>
      <c r="G45" s="1643">
        <v>10</v>
      </c>
      <c r="H45" s="1644">
        <v>5</v>
      </c>
      <c r="I45" s="1643"/>
      <c r="J45" s="1730"/>
      <c r="K45" s="1730"/>
      <c r="L45" s="1644"/>
      <c r="M45" s="1742" t="s">
        <v>4408</v>
      </c>
      <c r="N45" s="223"/>
      <c r="O45" s="241" t="s">
        <v>4044</v>
      </c>
      <c r="P45" s="1823" t="str">
        <f>IF('Part VII-Threshold Criteria OLD'!$P$341="Agree","Yes","")</f>
        <v/>
      </c>
      <c r="Q45" s="142"/>
      <c r="R45" s="646" t="s">
        <v>344</v>
      </c>
      <c r="S45" s="1640" t="s">
        <v>3179</v>
      </c>
      <c r="T45" s="1640"/>
      <c r="U45" s="1768"/>
      <c r="V45" s="1768"/>
      <c r="W45" s="1768"/>
      <c r="X45" s="1683">
        <f>O233</f>
        <v>0</v>
      </c>
      <c r="Y45" s="1691">
        <f>O233</f>
        <v>0</v>
      </c>
      <c r="Z45" s="1643"/>
      <c r="AA45" s="1730"/>
      <c r="AB45" s="1730"/>
      <c r="AC45" s="1733"/>
      <c r="AD45" s="1687">
        <f>P233</f>
        <v>0</v>
      </c>
      <c r="AE45" s="1691">
        <f>P233</f>
        <v>0</v>
      </c>
      <c r="AF45" s="1643"/>
      <c r="AG45" s="1730"/>
      <c r="AH45" s="1730"/>
      <c r="AI45" s="1644"/>
    </row>
    <row r="46" spans="1:46" s="115" customFormat="1" ht="10.5" customHeight="1">
      <c r="A46" s="646" t="s">
        <v>1602</v>
      </c>
      <c r="B46" s="1640" t="s">
        <v>4031</v>
      </c>
      <c r="C46" s="1641"/>
      <c r="D46" s="1642"/>
      <c r="E46" s="1642"/>
      <c r="F46" s="1642"/>
      <c r="G46" s="1643">
        <v>3</v>
      </c>
      <c r="H46" s="1644"/>
      <c r="I46" s="1643"/>
      <c r="J46" s="1730"/>
      <c r="K46" s="1730"/>
      <c r="L46" s="1644"/>
      <c r="M46" s="1742"/>
      <c r="N46" s="223"/>
      <c r="O46" s="241" t="s">
        <v>4454</v>
      </c>
      <c r="P46" s="1824" t="str">
        <f>IF('Part VII-Threshold Criteria OLD'!$P$344="Agree","Yes","")</f>
        <v/>
      </c>
      <c r="Q46" s="142"/>
      <c r="R46" s="646" t="s">
        <v>1602</v>
      </c>
      <c r="S46" s="1640" t="s">
        <v>4031</v>
      </c>
      <c r="T46" s="1640"/>
      <c r="U46" s="1768"/>
      <c r="V46" s="1768"/>
      <c r="W46" s="1768"/>
      <c r="X46" s="1683">
        <f>O242</f>
        <v>0</v>
      </c>
      <c r="Y46" s="1644"/>
      <c r="Z46" s="1643"/>
      <c r="AA46" s="1730"/>
      <c r="AB46" s="1730"/>
      <c r="AC46" s="1733"/>
      <c r="AD46" s="1687">
        <f>P242</f>
        <v>0</v>
      </c>
      <c r="AE46" s="1644"/>
      <c r="AF46" s="1643"/>
      <c r="AG46" s="1730"/>
      <c r="AH46" s="1730"/>
      <c r="AI46" s="1644"/>
    </row>
    <row r="47" spans="1:46" s="115" customFormat="1" ht="10.5" customHeight="1">
      <c r="A47" s="646" t="s">
        <v>3283</v>
      </c>
      <c r="B47" s="1640" t="s">
        <v>3915</v>
      </c>
      <c r="C47" s="1641"/>
      <c r="D47" s="1642"/>
      <c r="E47" s="1642"/>
      <c r="F47" s="1642"/>
      <c r="G47" s="1643">
        <v>5</v>
      </c>
      <c r="H47" s="1644"/>
      <c r="I47" s="1643"/>
      <c r="J47" s="1730"/>
      <c r="K47" s="1730"/>
      <c r="L47" s="1644"/>
      <c r="M47" s="1217"/>
      <c r="N47" s="1766"/>
      <c r="O47" s="1743" t="s">
        <v>4455</v>
      </c>
      <c r="P47" s="1825" t="str">
        <f>IF('Part VII-Threshold Criteria OLD'!$P$346="Agree","Yes","")</f>
        <v/>
      </c>
      <c r="Q47" s="142"/>
      <c r="R47" s="646" t="s">
        <v>3283</v>
      </c>
      <c r="S47" s="1640" t="s">
        <v>3915</v>
      </c>
      <c r="T47" s="1640"/>
      <c r="U47" s="1768"/>
      <c r="V47" s="1768"/>
      <c r="W47" s="1768"/>
      <c r="X47" s="1683">
        <f>O252</f>
        <v>0</v>
      </c>
      <c r="Y47" s="1644"/>
      <c r="Z47" s="1643"/>
      <c r="AA47" s="1730"/>
      <c r="AB47" s="1730"/>
      <c r="AC47" s="1733"/>
      <c r="AD47" s="1687">
        <f>P252</f>
        <v>0</v>
      </c>
      <c r="AE47" s="1644"/>
      <c r="AF47" s="1643"/>
      <c r="AG47" s="1730"/>
      <c r="AH47" s="1730"/>
      <c r="AI47" s="1644"/>
    </row>
    <row r="48" spans="1:46" s="115" customFormat="1" ht="10.5" customHeight="1">
      <c r="A48" s="646" t="s">
        <v>2075</v>
      </c>
      <c r="B48" s="1640" t="s">
        <v>3681</v>
      </c>
      <c r="C48" s="1641"/>
      <c r="D48" s="1642"/>
      <c r="E48" s="1642"/>
      <c r="F48" s="1642"/>
      <c r="G48" s="1643">
        <v>4</v>
      </c>
      <c r="H48" s="1644">
        <v>4</v>
      </c>
      <c r="I48" s="1643">
        <v>4</v>
      </c>
      <c r="J48" s="1730">
        <v>4</v>
      </c>
      <c r="K48" s="1730">
        <v>4</v>
      </c>
      <c r="L48" s="1644">
        <v>4</v>
      </c>
      <c r="M48" s="1760" t="s">
        <v>2437</v>
      </c>
      <c r="N48" s="1761"/>
      <c r="O48" s="1762"/>
      <c r="P48" s="1173"/>
      <c r="R48" s="646" t="s">
        <v>2075</v>
      </c>
      <c r="S48" s="1640" t="s">
        <v>3681</v>
      </c>
      <c r="T48" s="1640"/>
      <c r="U48" s="1768"/>
      <c r="V48" s="1768"/>
      <c r="W48" s="1768"/>
      <c r="X48" s="1683">
        <f>O261</f>
        <v>0</v>
      </c>
      <c r="Y48" s="1691">
        <f>O261</f>
        <v>0</v>
      </c>
      <c r="Z48" s="1683">
        <f>O261</f>
        <v>0</v>
      </c>
      <c r="AA48" s="1731">
        <f>O261</f>
        <v>0</v>
      </c>
      <c r="AB48" s="1731">
        <f>O261</f>
        <v>0</v>
      </c>
      <c r="AC48" s="1732">
        <f>O261</f>
        <v>0</v>
      </c>
      <c r="AD48" s="1687">
        <f>P261</f>
        <v>0</v>
      </c>
      <c r="AE48" s="1691">
        <f>P261</f>
        <v>0</v>
      </c>
      <c r="AF48" s="1683">
        <f>P261</f>
        <v>0</v>
      </c>
      <c r="AG48" s="1731">
        <f>P261</f>
        <v>0</v>
      </c>
      <c r="AH48" s="1731">
        <f>P261</f>
        <v>0</v>
      </c>
      <c r="AI48" s="1691">
        <f>P261</f>
        <v>0</v>
      </c>
      <c r="AT48" s="1831" t="s">
        <v>3165</v>
      </c>
    </row>
    <row r="49" spans="1:46" s="115" customFormat="1" ht="10.5" customHeight="1">
      <c r="A49" s="646" t="s">
        <v>3283</v>
      </c>
      <c r="B49" s="1640" t="s">
        <v>4445</v>
      </c>
      <c r="C49" s="1641"/>
      <c r="D49" s="1642"/>
      <c r="E49" s="1642"/>
      <c r="F49" s="1642"/>
      <c r="G49" s="1643">
        <v>2</v>
      </c>
      <c r="H49" s="1644">
        <v>2</v>
      </c>
      <c r="I49" s="1643">
        <v>2</v>
      </c>
      <c r="J49" s="1730">
        <v>2</v>
      </c>
      <c r="K49" s="1730">
        <v>2</v>
      </c>
      <c r="L49" s="1644">
        <v>2</v>
      </c>
      <c r="M49" s="1763" t="s">
        <v>4456</v>
      </c>
      <c r="N49" s="1764"/>
      <c r="O49" s="1765"/>
      <c r="P49" s="805"/>
      <c r="R49" s="646" t="s">
        <v>3283</v>
      </c>
      <c r="S49" s="1640" t="s">
        <v>4445</v>
      </c>
      <c r="T49" s="1640"/>
      <c r="U49" s="1768"/>
      <c r="V49" s="1768"/>
      <c r="W49" s="1768"/>
      <c r="X49" s="1683">
        <f>O274</f>
        <v>0</v>
      </c>
      <c r="Y49" s="1691">
        <f>O274</f>
        <v>0</v>
      </c>
      <c r="Z49" s="1683">
        <f>O274</f>
        <v>0</v>
      </c>
      <c r="AA49" s="1731">
        <f>O274</f>
        <v>0</v>
      </c>
      <c r="AB49" s="1731">
        <f>O274</f>
        <v>0</v>
      </c>
      <c r="AC49" s="1732">
        <f>O274</f>
        <v>0</v>
      </c>
      <c r="AD49" s="1687">
        <f>P274</f>
        <v>0</v>
      </c>
      <c r="AE49" s="1691">
        <f>P274</f>
        <v>0</v>
      </c>
      <c r="AF49" s="1683">
        <f>P274</f>
        <v>0</v>
      </c>
      <c r="AG49" s="1731">
        <f>P274</f>
        <v>0</v>
      </c>
      <c r="AH49" s="1731">
        <f>P274</f>
        <v>0</v>
      </c>
      <c r="AI49" s="1691">
        <f>P274</f>
        <v>0</v>
      </c>
      <c r="AQ49" s="1830" t="s">
        <v>4594</v>
      </c>
      <c r="AR49" s="223"/>
      <c r="AS49" s="72"/>
      <c r="AT49" s="1821" t="e">
        <f>#REF!+#REF!+#REF!</f>
        <v>#REF!</v>
      </c>
    </row>
    <row r="50" spans="1:46" s="115" customFormat="1" ht="10.5" customHeight="1">
      <c r="A50" s="646" t="s">
        <v>3284</v>
      </c>
      <c r="B50" s="1640" t="s">
        <v>4446</v>
      </c>
      <c r="C50" s="1641"/>
      <c r="D50" s="1642"/>
      <c r="E50" s="1642"/>
      <c r="F50" s="1642"/>
      <c r="G50" s="1643">
        <v>2</v>
      </c>
      <c r="H50" s="1644">
        <v>2</v>
      </c>
      <c r="I50" s="1643">
        <v>2</v>
      </c>
      <c r="J50" s="1730">
        <v>2</v>
      </c>
      <c r="K50" s="1730">
        <v>2</v>
      </c>
      <c r="L50" s="1644">
        <v>2</v>
      </c>
      <c r="M50" s="147" t="s">
        <v>4457</v>
      </c>
      <c r="N50" s="72"/>
      <c r="O50" s="72"/>
      <c r="P50" s="455" t="e">
        <f>#REF!</f>
        <v>#REF!</v>
      </c>
      <c r="R50" s="646" t="s">
        <v>3284</v>
      </c>
      <c r="S50" s="1640" t="s">
        <v>4446</v>
      </c>
      <c r="T50" s="1640"/>
      <c r="U50" s="1768"/>
      <c r="V50" s="1768"/>
      <c r="W50" s="1768"/>
      <c r="X50" s="1683">
        <f>O285</f>
        <v>0</v>
      </c>
      <c r="Y50" s="1691">
        <f>O285</f>
        <v>0</v>
      </c>
      <c r="Z50" s="1683">
        <f>O285</f>
        <v>0</v>
      </c>
      <c r="AA50" s="1731">
        <f>O285</f>
        <v>0</v>
      </c>
      <c r="AB50" s="1731">
        <f>O285</f>
        <v>0</v>
      </c>
      <c r="AC50" s="1732">
        <f>O285</f>
        <v>0</v>
      </c>
      <c r="AD50" s="1687">
        <f>P285</f>
        <v>0</v>
      </c>
      <c r="AE50" s="1691">
        <f>P285</f>
        <v>0</v>
      </c>
      <c r="AF50" s="1683">
        <f>P285</f>
        <v>0</v>
      </c>
      <c r="AG50" s="1731">
        <f>P285</f>
        <v>0</v>
      </c>
      <c r="AH50" s="1731">
        <f>P285</f>
        <v>0</v>
      </c>
      <c r="AI50" s="1691">
        <f>P285</f>
        <v>0</v>
      </c>
      <c r="AQ50" s="1830" t="s">
        <v>4585</v>
      </c>
      <c r="AR50" s="1457"/>
      <c r="AS50" s="1457"/>
      <c r="AT50" s="1822" t="e">
        <f>#REF!+#REF!-#REF!-#REF!</f>
        <v>#REF!</v>
      </c>
    </row>
    <row r="51" spans="1:46" s="115" customFormat="1" ht="10.5" customHeight="1">
      <c r="A51" s="646" t="s">
        <v>3282</v>
      </c>
      <c r="B51" s="1640" t="s">
        <v>4451</v>
      </c>
      <c r="C51" s="1641"/>
      <c r="D51" s="1642"/>
      <c r="E51" s="1642"/>
      <c r="F51" s="1642"/>
      <c r="G51" s="1643">
        <v>2</v>
      </c>
      <c r="H51" s="1644"/>
      <c r="I51" s="1643"/>
      <c r="J51" s="1730">
        <v>2</v>
      </c>
      <c r="K51" s="1730">
        <v>2</v>
      </c>
      <c r="L51" s="1644">
        <v>2</v>
      </c>
      <c r="Q51" s="142"/>
      <c r="R51" s="646" t="s">
        <v>3282</v>
      </c>
      <c r="S51" s="1640" t="s">
        <v>4451</v>
      </c>
      <c r="T51" s="1640"/>
      <c r="U51" s="1768"/>
      <c r="V51" s="1768"/>
      <c r="W51" s="1768"/>
      <c r="X51" s="1683">
        <f>O310</f>
        <v>0</v>
      </c>
      <c r="Y51" s="1644"/>
      <c r="Z51" s="1643"/>
      <c r="AA51" s="1731">
        <f>O310</f>
        <v>0</v>
      </c>
      <c r="AB51" s="1731">
        <f>O310</f>
        <v>0</v>
      </c>
      <c r="AC51" s="1732">
        <f>O310</f>
        <v>0</v>
      </c>
      <c r="AD51" s="1687">
        <f>P310</f>
        <v>0</v>
      </c>
      <c r="AE51" s="1644"/>
      <c r="AF51" s="1643"/>
      <c r="AG51" s="1731">
        <f>P310</f>
        <v>0</v>
      </c>
      <c r="AH51" s="1731">
        <f>P310</f>
        <v>0</v>
      </c>
      <c r="AI51" s="1691">
        <f>P310</f>
        <v>0</v>
      </c>
    </row>
    <row r="52" spans="1:46" s="115" customFormat="1" ht="10.5" customHeight="1">
      <c r="A52" s="646" t="s">
        <v>3285</v>
      </c>
      <c r="B52" s="1640" t="s">
        <v>4032</v>
      </c>
      <c r="C52" s="1641"/>
      <c r="D52" s="1642"/>
      <c r="E52" s="1642"/>
      <c r="F52" s="1642"/>
      <c r="G52" s="1643">
        <v>2</v>
      </c>
      <c r="H52" s="1644"/>
      <c r="I52" s="1643"/>
      <c r="J52" s="1730">
        <v>2</v>
      </c>
      <c r="K52" s="1730">
        <v>2</v>
      </c>
      <c r="L52" s="1644">
        <v>2</v>
      </c>
      <c r="M52" s="4342" t="s">
        <v>4630</v>
      </c>
      <c r="N52" s="4343"/>
      <c r="O52" s="4343"/>
      <c r="P52" s="4343"/>
      <c r="Q52" s="391"/>
      <c r="R52" s="646" t="s">
        <v>3285</v>
      </c>
      <c r="S52" s="1640" t="s">
        <v>4032</v>
      </c>
      <c r="T52" s="1640"/>
      <c r="U52" s="1768"/>
      <c r="V52" s="1768"/>
      <c r="W52" s="1768"/>
      <c r="X52" s="1689"/>
      <c r="Y52" s="1690"/>
      <c r="Z52" s="1685"/>
      <c r="AA52" s="1738"/>
      <c r="AB52" s="1738"/>
      <c r="AC52" s="1739"/>
      <c r="AD52" s="1687">
        <f>P318</f>
        <v>0</v>
      </c>
      <c r="AE52" s="1644"/>
      <c r="AF52" s="1643"/>
      <c r="AG52" s="1731">
        <f>P318</f>
        <v>0</v>
      </c>
      <c r="AH52" s="1731">
        <f>P318</f>
        <v>0</v>
      </c>
      <c r="AI52" s="1691">
        <f>P318</f>
        <v>0</v>
      </c>
    </row>
    <row r="53" spans="1:46" s="115" customFormat="1" ht="10.5" customHeight="1">
      <c r="A53" s="646" t="s">
        <v>3286</v>
      </c>
      <c r="B53" s="1640" t="s">
        <v>3310</v>
      </c>
      <c r="C53" s="1641"/>
      <c r="D53" s="1642"/>
      <c r="E53" s="1642"/>
      <c r="F53" s="1642"/>
      <c r="G53" s="1643">
        <v>2</v>
      </c>
      <c r="H53" s="1644"/>
      <c r="I53" s="1643"/>
      <c r="J53" s="1730">
        <v>2</v>
      </c>
      <c r="K53" s="1730">
        <v>2</v>
      </c>
      <c r="L53" s="1644">
        <v>2</v>
      </c>
      <c r="M53" s="4342"/>
      <c r="N53" s="4343"/>
      <c r="O53" s="4343"/>
      <c r="P53" s="4343"/>
      <c r="R53" s="646" t="s">
        <v>3286</v>
      </c>
      <c r="S53" s="1640" t="s">
        <v>3310</v>
      </c>
      <c r="T53" s="1640"/>
      <c r="U53" s="1768"/>
      <c r="V53" s="1768"/>
      <c r="W53" s="1768"/>
      <c r="X53" s="1683">
        <f>O334</f>
        <v>0</v>
      </c>
      <c r="Y53" s="1691"/>
      <c r="Z53" s="1683"/>
      <c r="AA53" s="1731">
        <f>O334</f>
        <v>0</v>
      </c>
      <c r="AB53" s="1731">
        <f>O334</f>
        <v>0</v>
      </c>
      <c r="AC53" s="1732">
        <f>O334</f>
        <v>0</v>
      </c>
      <c r="AD53" s="1687">
        <f>P334</f>
        <v>0</v>
      </c>
      <c r="AE53" s="1691"/>
      <c r="AF53" s="1683"/>
      <c r="AG53" s="1731">
        <f>P334</f>
        <v>0</v>
      </c>
      <c r="AH53" s="1731">
        <f>P334</f>
        <v>0</v>
      </c>
      <c r="AI53" s="1691">
        <f>P334</f>
        <v>0</v>
      </c>
    </row>
    <row r="54" spans="1:46" s="115" customFormat="1" ht="10.5" customHeight="1">
      <c r="A54" s="646" t="s">
        <v>3289</v>
      </c>
      <c r="B54" s="1640" t="s">
        <v>3311</v>
      </c>
      <c r="C54" s="1641"/>
      <c r="D54" s="1642"/>
      <c r="E54" s="1642"/>
      <c r="F54" s="1642"/>
      <c r="G54" s="1643">
        <v>4</v>
      </c>
      <c r="H54" s="1644">
        <v>2</v>
      </c>
      <c r="I54" s="1643">
        <v>2</v>
      </c>
      <c r="J54" s="1730">
        <v>4</v>
      </c>
      <c r="K54" s="1730">
        <v>4</v>
      </c>
      <c r="L54" s="1644">
        <v>4</v>
      </c>
      <c r="M54" s="4344"/>
      <c r="N54" s="4345"/>
      <c r="O54" s="4345"/>
      <c r="P54" s="4345"/>
      <c r="R54" s="646" t="s">
        <v>3289</v>
      </c>
      <c r="S54" s="1640" t="s">
        <v>3311</v>
      </c>
      <c r="T54" s="1640"/>
      <c r="U54" s="1768"/>
      <c r="V54" s="1768"/>
      <c r="W54" s="1768"/>
      <c r="X54" s="1683">
        <f>O342</f>
        <v>0</v>
      </c>
      <c r="Y54" s="1691">
        <f>O342</f>
        <v>0</v>
      </c>
      <c r="Z54" s="1683">
        <f>O342</f>
        <v>0</v>
      </c>
      <c r="AA54" s="1731">
        <f>O342</f>
        <v>0</v>
      </c>
      <c r="AB54" s="1731">
        <f>O342</f>
        <v>0</v>
      </c>
      <c r="AC54" s="1732">
        <f>O342</f>
        <v>0</v>
      </c>
      <c r="AD54" s="1687">
        <f>P342</f>
        <v>0</v>
      </c>
      <c r="AE54" s="1691">
        <f>P342</f>
        <v>0</v>
      </c>
      <c r="AF54" s="1683">
        <f>P342</f>
        <v>0</v>
      </c>
      <c r="AG54" s="1731">
        <f>P342</f>
        <v>0</v>
      </c>
      <c r="AH54" s="1731">
        <f>P342</f>
        <v>0</v>
      </c>
      <c r="AI54" s="1691">
        <f>P342</f>
        <v>0</v>
      </c>
    </row>
    <row r="55" spans="1:46" s="115" customFormat="1" ht="10.5" customHeight="1">
      <c r="A55" s="646" t="s">
        <v>3290</v>
      </c>
      <c r="B55" s="1640" t="s">
        <v>3312</v>
      </c>
      <c r="C55" s="1641"/>
      <c r="D55" s="1642"/>
      <c r="E55" s="1642"/>
      <c r="F55" s="1642"/>
      <c r="G55" s="1643">
        <v>2</v>
      </c>
      <c r="H55" s="1644"/>
      <c r="I55" s="1643"/>
      <c r="J55" s="1730"/>
      <c r="K55" s="1730"/>
      <c r="L55" s="1644"/>
      <c r="M55" s="4552" t="s">
        <v>4606</v>
      </c>
      <c r="N55" s="4553"/>
      <c r="O55" s="4553"/>
      <c r="P55" s="4554"/>
      <c r="R55" s="646" t="s">
        <v>3290</v>
      </c>
      <c r="S55" s="1640" t="s">
        <v>3312</v>
      </c>
      <c r="T55" s="1640"/>
      <c r="U55" s="1768"/>
      <c r="V55" s="1768"/>
      <c r="W55" s="1768"/>
      <c r="X55" s="1683">
        <f>O378</f>
        <v>0</v>
      </c>
      <c r="Y55" s="1691"/>
      <c r="Z55" s="1683"/>
      <c r="AA55" s="1731"/>
      <c r="AB55" s="1731"/>
      <c r="AC55" s="1732"/>
      <c r="AD55" s="1687">
        <f>P378</f>
        <v>0</v>
      </c>
      <c r="AE55" s="1691"/>
      <c r="AF55" s="1683"/>
      <c r="AG55" s="1731"/>
      <c r="AH55" s="1731"/>
      <c r="AI55" s="1691"/>
    </row>
    <row r="56" spans="1:46" s="115" customFormat="1" ht="10.5" customHeight="1">
      <c r="A56" s="646" t="s">
        <v>3291</v>
      </c>
      <c r="B56" s="1640" t="s">
        <v>4033</v>
      </c>
      <c r="C56" s="1641"/>
      <c r="D56" s="1642"/>
      <c r="E56" s="1642"/>
      <c r="F56" s="1642"/>
      <c r="G56" s="1643">
        <v>10</v>
      </c>
      <c r="H56" s="1644">
        <v>10</v>
      </c>
      <c r="I56" s="1643">
        <v>10</v>
      </c>
      <c r="J56" s="1730">
        <v>10</v>
      </c>
      <c r="K56" s="1730">
        <v>10</v>
      </c>
      <c r="L56" s="1644">
        <v>10</v>
      </c>
      <c r="M56" s="4555"/>
      <c r="N56" s="4556"/>
      <c r="O56" s="4556"/>
      <c r="P56" s="4557"/>
      <c r="R56" s="646" t="s">
        <v>3291</v>
      </c>
      <c r="S56" s="1640" t="s">
        <v>4033</v>
      </c>
      <c r="T56" s="1640"/>
      <c r="U56" s="1768"/>
      <c r="V56" s="1768"/>
      <c r="W56" s="1768"/>
      <c r="X56" s="1683">
        <f>O397</f>
        <v>10</v>
      </c>
      <c r="Y56" s="1691">
        <f>O397</f>
        <v>10</v>
      </c>
      <c r="Z56" s="1683">
        <f>O397</f>
        <v>10</v>
      </c>
      <c r="AA56" s="1731">
        <f>O397</f>
        <v>10</v>
      </c>
      <c r="AB56" s="1731">
        <f>O397</f>
        <v>10</v>
      </c>
      <c r="AC56" s="1732">
        <f>O397</f>
        <v>10</v>
      </c>
      <c r="AD56" s="1687">
        <f>P397</f>
        <v>10</v>
      </c>
      <c r="AE56" s="1691">
        <f>P397</f>
        <v>10</v>
      </c>
      <c r="AF56" s="1683">
        <f>P397</f>
        <v>10</v>
      </c>
      <c r="AG56" s="1731">
        <f>P397</f>
        <v>10</v>
      </c>
      <c r="AH56" s="1731">
        <f>P397</f>
        <v>10</v>
      </c>
      <c r="AI56" s="1691">
        <f>P397</f>
        <v>10</v>
      </c>
    </row>
    <row r="57" spans="1:46" s="115" customFormat="1" ht="10.5" customHeight="1">
      <c r="A57" s="646" t="s">
        <v>3292</v>
      </c>
      <c r="B57" s="1640" t="s">
        <v>4447</v>
      </c>
      <c r="C57" s="1641"/>
      <c r="D57" s="1642"/>
      <c r="E57" s="1642"/>
      <c r="F57" s="1642"/>
      <c r="G57" s="1643">
        <v>3</v>
      </c>
      <c r="H57" s="1644">
        <v>3</v>
      </c>
      <c r="I57" s="1643">
        <v>3</v>
      </c>
      <c r="J57" s="1730">
        <v>3</v>
      </c>
      <c r="K57" s="1730">
        <v>3</v>
      </c>
      <c r="L57" s="1644">
        <v>3</v>
      </c>
      <c r="R57" s="646" t="s">
        <v>3292</v>
      </c>
      <c r="S57" s="1640" t="s">
        <v>4447</v>
      </c>
      <c r="T57" s="1640"/>
      <c r="U57" s="1768"/>
      <c r="V57" s="1768"/>
      <c r="W57" s="1768"/>
      <c r="X57" s="1683">
        <f>O405</f>
        <v>2</v>
      </c>
      <c r="Y57" s="1691">
        <f>O405</f>
        <v>2</v>
      </c>
      <c r="Z57" s="1683">
        <f>O405</f>
        <v>2</v>
      </c>
      <c r="AA57" s="1731">
        <f>O405</f>
        <v>2</v>
      </c>
      <c r="AB57" s="1731">
        <f t="shared" ref="AB57:AB61" si="1">O398</f>
        <v>0</v>
      </c>
      <c r="AC57" s="1732">
        <f>O405</f>
        <v>2</v>
      </c>
      <c r="AD57" s="1687">
        <f>P405</f>
        <v>2</v>
      </c>
      <c r="AE57" s="1691">
        <f>P405</f>
        <v>2</v>
      </c>
      <c r="AF57" s="1683">
        <f>P405</f>
        <v>2</v>
      </c>
      <c r="AG57" s="1731">
        <f>P405</f>
        <v>2</v>
      </c>
      <c r="AH57" s="1731">
        <f>P405</f>
        <v>2</v>
      </c>
      <c r="AI57" s="1691">
        <f>P405</f>
        <v>2</v>
      </c>
    </row>
    <row r="58" spans="1:46" s="115" customFormat="1" ht="10.5" customHeight="1">
      <c r="A58" s="646" t="s">
        <v>3293</v>
      </c>
      <c r="B58" s="1640" t="s">
        <v>4034</v>
      </c>
      <c r="C58" s="1641"/>
      <c r="D58" s="1642"/>
      <c r="E58" s="1642"/>
      <c r="F58" s="1642"/>
      <c r="G58" s="1643"/>
      <c r="H58" s="1644"/>
      <c r="I58" s="1643">
        <v>6</v>
      </c>
      <c r="J58" s="1730">
        <v>6</v>
      </c>
      <c r="K58" s="1730">
        <v>6</v>
      </c>
      <c r="L58" s="1644">
        <v>6</v>
      </c>
      <c r="M58" s="4338" t="s">
        <v>4042</v>
      </c>
      <c r="N58" s="4339"/>
      <c r="O58" s="4339"/>
      <c r="P58" s="4339"/>
      <c r="Q58" s="142"/>
      <c r="R58" s="646" t="s">
        <v>3293</v>
      </c>
      <c r="S58" s="1640" t="s">
        <v>4034</v>
      </c>
      <c r="T58" s="1640"/>
      <c r="U58" s="1768"/>
      <c r="V58" s="1768"/>
      <c r="W58" s="1768"/>
      <c r="X58" s="1643"/>
      <c r="Y58" s="1644"/>
      <c r="Z58" s="1683">
        <f>O418</f>
        <v>0</v>
      </c>
      <c r="AA58" s="1731">
        <f>O418</f>
        <v>0</v>
      </c>
      <c r="AB58" s="1731">
        <f t="shared" si="1"/>
        <v>10</v>
      </c>
      <c r="AC58" s="1732">
        <f>O418</f>
        <v>0</v>
      </c>
      <c r="AD58" s="1682"/>
      <c r="AE58" s="1644"/>
      <c r="AF58" s="1683">
        <f>P418</f>
        <v>0</v>
      </c>
      <c r="AG58" s="1731">
        <f>P418</f>
        <v>0</v>
      </c>
      <c r="AH58" s="1731">
        <f>P418</f>
        <v>0</v>
      </c>
      <c r="AI58" s="1691">
        <f>P418</f>
        <v>0</v>
      </c>
    </row>
    <row r="59" spans="1:46" s="115" customFormat="1" ht="10.5" customHeight="1">
      <c r="A59" s="646" t="s">
        <v>3294</v>
      </c>
      <c r="B59" s="1640" t="s">
        <v>4448</v>
      </c>
      <c r="C59" s="1641"/>
      <c r="D59" s="1642"/>
      <c r="E59" s="1642"/>
      <c r="F59" s="1642"/>
      <c r="G59" s="1643"/>
      <c r="H59" s="1644"/>
      <c r="I59" s="1643">
        <v>6</v>
      </c>
      <c r="J59" s="1730">
        <v>6</v>
      </c>
      <c r="K59" s="1730">
        <v>6</v>
      </c>
      <c r="L59" s="1644">
        <v>6</v>
      </c>
      <c r="M59" s="4340"/>
      <c r="N59" s="4341"/>
      <c r="O59" s="4341"/>
      <c r="P59" s="4341"/>
      <c r="Q59" s="142"/>
      <c r="R59" s="646" t="s">
        <v>3294</v>
      </c>
      <c r="S59" s="1640" t="s">
        <v>4448</v>
      </c>
      <c r="T59" s="1640"/>
      <c r="U59" s="1768"/>
      <c r="V59" s="1768"/>
      <c r="W59" s="1768"/>
      <c r="X59" s="1643"/>
      <c r="Y59" s="1644"/>
      <c r="Z59" s="1683">
        <f>O424</f>
        <v>0</v>
      </c>
      <c r="AA59" s="1731">
        <f>O424</f>
        <v>0</v>
      </c>
      <c r="AB59" s="1731">
        <f t="shared" si="1"/>
        <v>0</v>
      </c>
      <c r="AC59" s="1732">
        <f>O424</f>
        <v>0</v>
      </c>
      <c r="AD59" s="1682"/>
      <c r="AE59" s="1644"/>
      <c r="AF59" s="1683">
        <f>P424</f>
        <v>0</v>
      </c>
      <c r="AG59" s="1731">
        <f>P424</f>
        <v>0</v>
      </c>
      <c r="AH59" s="1731">
        <f>P424</f>
        <v>0</v>
      </c>
      <c r="AI59" s="1691">
        <f>P424</f>
        <v>0</v>
      </c>
    </row>
    <row r="60" spans="1:46" s="115" customFormat="1" ht="10.5" customHeight="1">
      <c r="A60" s="646" t="s">
        <v>3680</v>
      </c>
      <c r="B60" s="1640" t="s">
        <v>4449</v>
      </c>
      <c r="C60" s="1641"/>
      <c r="D60" s="1642"/>
      <c r="E60" s="1642"/>
      <c r="F60" s="1642"/>
      <c r="G60" s="1643"/>
      <c r="H60" s="1644"/>
      <c r="I60" s="1643">
        <v>4</v>
      </c>
      <c r="J60" s="1730">
        <v>4</v>
      </c>
      <c r="K60" s="1730">
        <v>4</v>
      </c>
      <c r="L60" s="1644">
        <v>4</v>
      </c>
      <c r="M60" s="4629" t="s">
        <v>4607</v>
      </c>
      <c r="N60" s="4630"/>
      <c r="O60" s="4630"/>
      <c r="P60" s="4631"/>
      <c r="R60" s="646" t="s">
        <v>3680</v>
      </c>
      <c r="S60" s="1640" t="s">
        <v>4449</v>
      </c>
      <c r="T60" s="1640"/>
      <c r="U60" s="1768"/>
      <c r="V60" s="1768"/>
      <c r="W60" s="1768"/>
      <c r="X60" s="1643"/>
      <c r="Y60" s="1644"/>
      <c r="Z60" s="1683">
        <f>O428</f>
        <v>0</v>
      </c>
      <c r="AA60" s="1731">
        <f>O428</f>
        <v>0</v>
      </c>
      <c r="AB60" s="1731">
        <f t="shared" si="1"/>
        <v>0</v>
      </c>
      <c r="AC60" s="1732">
        <f>O428</f>
        <v>0</v>
      </c>
      <c r="AD60" s="1682"/>
      <c r="AE60" s="1644"/>
      <c r="AF60" s="1683">
        <f>P428</f>
        <v>0</v>
      </c>
      <c r="AG60" s="1731">
        <f>P428</f>
        <v>0</v>
      </c>
      <c r="AH60" s="1731">
        <f>P428</f>
        <v>0</v>
      </c>
      <c r="AI60" s="1691">
        <f>P428</f>
        <v>0</v>
      </c>
    </row>
    <row r="61" spans="1:46" s="115" customFormat="1" ht="10.5" customHeight="1">
      <c r="A61" s="646" t="s">
        <v>4452</v>
      </c>
      <c r="B61" s="1645" t="s">
        <v>4450</v>
      </c>
      <c r="C61" s="1646"/>
      <c r="D61" s="1647"/>
      <c r="E61" s="1647"/>
      <c r="F61" s="1647"/>
      <c r="G61" s="1648"/>
      <c r="H61" s="1649"/>
      <c r="I61" s="1648">
        <v>6</v>
      </c>
      <c r="J61" s="1906">
        <v>4</v>
      </c>
      <c r="K61" s="1906">
        <v>6</v>
      </c>
      <c r="L61" s="1649">
        <v>4</v>
      </c>
      <c r="M61" s="4632"/>
      <c r="N61" s="4633"/>
      <c r="O61" s="4633"/>
      <c r="P61" s="4634"/>
      <c r="Q61" s="142"/>
      <c r="R61" s="646" t="s">
        <v>4452</v>
      </c>
      <c r="S61" s="1645" t="s">
        <v>4450</v>
      </c>
      <c r="T61" s="1645"/>
      <c r="U61" s="1769"/>
      <c r="V61" s="1769"/>
      <c r="W61" s="1769"/>
      <c r="X61" s="1648"/>
      <c r="Y61" s="1695"/>
      <c r="Z61" s="1771">
        <f>O434</f>
        <v>0</v>
      </c>
      <c r="AA61" s="1789">
        <f>O434</f>
        <v>0</v>
      </c>
      <c r="AB61" s="1789">
        <f t="shared" si="1"/>
        <v>0</v>
      </c>
      <c r="AC61" s="1790">
        <f>O434</f>
        <v>0</v>
      </c>
      <c r="AD61" s="1696"/>
      <c r="AE61" s="1695"/>
      <c r="AF61" s="1771">
        <f>P434</f>
        <v>0</v>
      </c>
      <c r="AG61" s="1789">
        <f>P434</f>
        <v>0</v>
      </c>
      <c r="AH61" s="1789">
        <f>P434</f>
        <v>0</v>
      </c>
      <c r="AI61" s="169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5" t="s">
        <v>4142</v>
      </c>
      <c r="E63" s="1418"/>
      <c r="F63" s="1418"/>
      <c r="G63" s="1907">
        <f t="shared" ref="G63:L63" si="2">SUM(G36:G61)</f>
        <v>114</v>
      </c>
      <c r="H63" s="1907">
        <f t="shared" si="2"/>
        <v>69</v>
      </c>
      <c r="I63" s="1907">
        <f t="shared" si="2"/>
        <v>55</v>
      </c>
      <c r="J63" s="1907">
        <f t="shared" si="2"/>
        <v>61</v>
      </c>
      <c r="K63" s="1907">
        <f t="shared" si="2"/>
        <v>63</v>
      </c>
      <c r="L63" s="1907">
        <f t="shared" si="2"/>
        <v>61</v>
      </c>
      <c r="M63" s="39"/>
      <c r="N63" s="47"/>
      <c r="O63" s="3"/>
      <c r="P63" s="119"/>
      <c r="R63" s="35"/>
      <c r="S63" s="35"/>
      <c r="T63" s="70"/>
      <c r="U63" s="70"/>
      <c r="V63" s="70"/>
      <c r="W63" s="70"/>
      <c r="X63" s="1694" t="e">
        <f>SUM(X35:X61)</f>
        <v>#REF!</v>
      </c>
      <c r="Y63" s="1694" t="e">
        <f t="shared" ref="Y63:AI63" si="3">SUM(Y35:Y61)</f>
        <v>#REF!</v>
      </c>
      <c r="Z63" s="1694">
        <f t="shared" si="3"/>
        <v>22</v>
      </c>
      <c r="AA63" s="1694">
        <f t="shared" si="3"/>
        <v>22</v>
      </c>
      <c r="AB63" s="1694">
        <f t="shared" si="3"/>
        <v>30</v>
      </c>
      <c r="AC63" s="1694">
        <f t="shared" si="3"/>
        <v>22</v>
      </c>
      <c r="AD63" s="1694" t="e">
        <f t="shared" si="3"/>
        <v>#REF!</v>
      </c>
      <c r="AE63" s="1694" t="e">
        <f t="shared" si="3"/>
        <v>#REF!</v>
      </c>
      <c r="AF63" s="1694">
        <f t="shared" si="3"/>
        <v>22</v>
      </c>
      <c r="AG63" s="1694">
        <f t="shared" si="3"/>
        <v>22</v>
      </c>
      <c r="AH63" s="1694">
        <f t="shared" si="3"/>
        <v>22</v>
      </c>
      <c r="AI63" s="1694">
        <f t="shared" si="3"/>
        <v>22</v>
      </c>
    </row>
    <row r="64" spans="1:46" s="35" customFormat="1" ht="13.5" customHeight="1" thickBot="1">
      <c r="A64" s="120" t="s">
        <v>690</v>
      </c>
      <c r="B64" s="83" t="s">
        <v>2489</v>
      </c>
      <c r="C64" s="4"/>
      <c r="D64" s="4"/>
      <c r="E64" s="4"/>
      <c r="F64" s="29"/>
      <c r="G64" s="29"/>
      <c r="H64" s="147" t="s">
        <v>3706</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3682</v>
      </c>
      <c r="D66" s="41"/>
      <c r="E66" s="41"/>
      <c r="F66" s="878"/>
      <c r="N66" s="48" t="s">
        <v>1836</v>
      </c>
      <c r="P66" s="1520">
        <f>SUM(P67:P69)</f>
        <v>0</v>
      </c>
      <c r="Q66" s="29" t="s">
        <v>4140</v>
      </c>
    </row>
    <row r="67" spans="1:20" s="36" customFormat="1" ht="12.75" customHeight="1">
      <c r="A67" s="107"/>
      <c r="B67" s="1521" t="s">
        <v>1839</v>
      </c>
      <c r="C67" s="81" t="s">
        <v>3685</v>
      </c>
      <c r="D67" s="41"/>
      <c r="E67" s="41"/>
      <c r="F67" s="878"/>
      <c r="H67" s="147" t="s">
        <v>3090</v>
      </c>
      <c r="J67" s="42"/>
      <c r="N67" s="316" t="s">
        <v>1839</v>
      </c>
      <c r="P67" s="889">
        <f>F75</f>
        <v>0</v>
      </c>
    </row>
    <row r="68" spans="1:20" s="36" customFormat="1" ht="12.75" customHeight="1">
      <c r="A68" s="107"/>
      <c r="B68" s="1521" t="s">
        <v>1841</v>
      </c>
      <c r="C68" s="81" t="s">
        <v>4139</v>
      </c>
      <c r="D68" s="41"/>
      <c r="E68" s="41"/>
      <c r="F68" s="878"/>
      <c r="H68" s="147" t="s">
        <v>3683</v>
      </c>
      <c r="J68" s="42"/>
      <c r="N68" s="316" t="s">
        <v>1841</v>
      </c>
      <c r="P68" s="1118">
        <f>J75</f>
        <v>0</v>
      </c>
    </row>
    <row r="69" spans="1:20" s="36" customFormat="1" ht="12.75" customHeight="1">
      <c r="A69" s="107"/>
      <c r="B69" s="1521" t="s">
        <v>2326</v>
      </c>
      <c r="C69" s="81" t="s">
        <v>3684</v>
      </c>
      <c r="D69" s="41"/>
      <c r="E69" s="41"/>
      <c r="F69" s="878"/>
      <c r="H69" s="147" t="s">
        <v>3688</v>
      </c>
      <c r="J69" s="42"/>
      <c r="N69" s="316" t="s">
        <v>2326</v>
      </c>
      <c r="P69" s="1119"/>
    </row>
    <row r="70" spans="1:20" s="36" customFormat="1" ht="12.75" customHeight="1">
      <c r="C70" s="4376" t="s">
        <v>3772</v>
      </c>
      <c r="D70" s="4377"/>
      <c r="E70" s="4377"/>
      <c r="F70" s="4377"/>
      <c r="G70" s="4377"/>
      <c r="H70" s="4377"/>
      <c r="I70" s="4377"/>
      <c r="J70" s="4377"/>
      <c r="K70" s="4377"/>
      <c r="L70" s="4377"/>
      <c r="M70" s="4377"/>
      <c r="N70" s="4377"/>
      <c r="O70" s="4377"/>
      <c r="P70" s="4378"/>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4140</v>
      </c>
    </row>
    <row r="73" spans="1:20" s="36" customFormat="1" ht="3" customHeight="1">
      <c r="A73" s="455"/>
      <c r="B73" s="452"/>
      <c r="C73" s="453"/>
      <c r="D73" s="108"/>
      <c r="K73" s="676"/>
      <c r="L73" s="676"/>
      <c r="M73" s="457"/>
      <c r="N73" s="316"/>
      <c r="O73" s="679"/>
      <c r="P73" s="679"/>
    </row>
    <row r="74" spans="1:20" s="35" customFormat="1" ht="12.75" customHeight="1">
      <c r="A74" s="4303" t="s">
        <v>3975</v>
      </c>
      <c r="B74" s="4303"/>
      <c r="C74" s="4303"/>
      <c r="D74" s="4303"/>
      <c r="E74" s="4303"/>
      <c r="F74" s="1117" t="s">
        <v>3304</v>
      </c>
      <c r="G74" s="4530" t="s">
        <v>3977</v>
      </c>
      <c r="H74" s="4530"/>
      <c r="I74" s="4530"/>
      <c r="J74" s="1117" t="s">
        <v>3304</v>
      </c>
      <c r="K74" s="4534" t="s">
        <v>3976</v>
      </c>
      <c r="L74" s="4534"/>
      <c r="M74" s="4534"/>
      <c r="N74" s="4534"/>
      <c r="O74" s="4528" t="s">
        <v>3304</v>
      </c>
      <c r="P74" s="4529"/>
      <c r="R74" s="355"/>
      <c r="S74" s="125"/>
    </row>
    <row r="75" spans="1:20" s="35" customFormat="1" ht="12.75" customHeight="1">
      <c r="A75" s="4527"/>
      <c r="B75" s="4527"/>
      <c r="C75" s="4527"/>
      <c r="D75" s="4527"/>
      <c r="E75" s="4527"/>
      <c r="F75" s="57">
        <f>SUM(F76:F87)</f>
        <v>0</v>
      </c>
      <c r="G75" s="4531"/>
      <c r="H75" s="4532"/>
      <c r="I75" s="4533"/>
      <c r="J75" s="57">
        <f>SUM(J76:J87)</f>
        <v>0</v>
      </c>
      <c r="K75" s="4535"/>
      <c r="L75" s="4536"/>
      <c r="M75" s="4536"/>
      <c r="N75" s="4537"/>
      <c r="O75" s="4518">
        <f>SUM(O76:O87)</f>
        <v>0</v>
      </c>
      <c r="P75" s="4519"/>
      <c r="Q75" s="355"/>
      <c r="R75" s="125"/>
    </row>
    <row r="76" spans="1:20" s="35" customFormat="1" ht="24.75" customHeight="1">
      <c r="A76" s="4520">
        <v>1</v>
      </c>
      <c r="B76" s="4521"/>
      <c r="C76" s="4521"/>
      <c r="D76" s="4521"/>
      <c r="E76" s="4522"/>
      <c r="F76" s="667"/>
      <c r="G76" s="4520">
        <v>1</v>
      </c>
      <c r="H76" s="4521"/>
      <c r="I76" s="4522"/>
      <c r="J76" s="670" t="s">
        <v>1607</v>
      </c>
      <c r="K76" s="4523">
        <v>1</v>
      </c>
      <c r="L76" s="4524"/>
      <c r="M76" s="4524"/>
      <c r="N76" s="4524"/>
      <c r="O76" s="4525" t="s">
        <v>1607</v>
      </c>
      <c r="P76" s="4526"/>
      <c r="Q76" s="353" t="s">
        <v>1179</v>
      </c>
      <c r="R76" s="125"/>
    </row>
    <row r="77" spans="1:20" s="35" customFormat="1" ht="24.75" customHeight="1">
      <c r="A77" s="4369">
        <v>2</v>
      </c>
      <c r="B77" s="4370"/>
      <c r="C77" s="4370"/>
      <c r="D77" s="4370"/>
      <c r="E77" s="4371"/>
      <c r="F77" s="668"/>
      <c r="G77" s="4369">
        <v>2</v>
      </c>
      <c r="H77" s="4370"/>
      <c r="I77" s="4371"/>
      <c r="J77" s="668"/>
      <c r="K77" s="4372">
        <v>2</v>
      </c>
      <c r="L77" s="4373"/>
      <c r="M77" s="4373"/>
      <c r="N77" s="4373"/>
      <c r="O77" s="4374"/>
      <c r="P77" s="4375"/>
      <c r="Q77" s="354"/>
      <c r="R77" s="125"/>
    </row>
    <row r="78" spans="1:20" s="35" customFormat="1" ht="24.75" customHeight="1">
      <c r="A78" s="4369">
        <v>3</v>
      </c>
      <c r="B78" s="4370"/>
      <c r="C78" s="4370"/>
      <c r="D78" s="4370"/>
      <c r="E78" s="4371"/>
      <c r="F78" s="668"/>
      <c r="G78" s="4369">
        <v>3</v>
      </c>
      <c r="H78" s="4370"/>
      <c r="I78" s="4371"/>
      <c r="J78" s="921" t="s">
        <v>2569</v>
      </c>
      <c r="K78" s="4372">
        <v>3</v>
      </c>
      <c r="L78" s="4373"/>
      <c r="M78" s="4373"/>
      <c r="N78" s="4373"/>
      <c r="O78" s="4348" t="s">
        <v>2569</v>
      </c>
      <c r="P78" s="4349"/>
      <c r="Q78" s="4346" t="s">
        <v>3686</v>
      </c>
      <c r="R78" s="4347"/>
      <c r="S78" s="1120"/>
      <c r="T78" s="1120"/>
    </row>
    <row r="79" spans="1:20" s="35" customFormat="1" ht="24.75" customHeight="1">
      <c r="A79" s="4369">
        <v>4</v>
      </c>
      <c r="B79" s="4370"/>
      <c r="C79" s="4370"/>
      <c r="D79" s="4370"/>
      <c r="E79" s="4371"/>
      <c r="F79" s="668"/>
      <c r="G79" s="4369">
        <v>4</v>
      </c>
      <c r="H79" s="4370"/>
      <c r="I79" s="4371"/>
      <c r="J79" s="668"/>
      <c r="K79" s="4372">
        <v>4</v>
      </c>
      <c r="L79" s="4373"/>
      <c r="M79" s="4373"/>
      <c r="N79" s="4373"/>
      <c r="O79" s="4348" t="s">
        <v>2569</v>
      </c>
      <c r="P79" s="4349"/>
      <c r="Q79" s="4346"/>
      <c r="R79" s="4347"/>
      <c r="S79" s="1120"/>
      <c r="T79" s="1120"/>
    </row>
    <row r="80" spans="1:20" s="35" customFormat="1" ht="24.75" customHeight="1">
      <c r="A80" s="4369">
        <v>5</v>
      </c>
      <c r="B80" s="4370"/>
      <c r="C80" s="4370"/>
      <c r="D80" s="4370"/>
      <c r="E80" s="4371"/>
      <c r="F80" s="668"/>
      <c r="G80" s="4369">
        <v>5</v>
      </c>
      <c r="H80" s="4370"/>
      <c r="I80" s="4371"/>
      <c r="J80" s="921" t="s">
        <v>3060</v>
      </c>
      <c r="K80" s="4372">
        <v>5</v>
      </c>
      <c r="L80" s="4373"/>
      <c r="M80" s="4373"/>
      <c r="N80" s="4373"/>
      <c r="O80" s="4374"/>
      <c r="P80" s="4375"/>
      <c r="Q80" s="4346"/>
      <c r="R80" s="4347"/>
      <c r="S80" s="1120"/>
      <c r="T80" s="1120"/>
    </row>
    <row r="81" spans="1:19" s="35" customFormat="1" ht="24" customHeight="1">
      <c r="A81" s="4369">
        <v>6</v>
      </c>
      <c r="B81" s="4370"/>
      <c r="C81" s="4370"/>
      <c r="D81" s="4370"/>
      <c r="E81" s="4371"/>
      <c r="F81" s="668"/>
      <c r="G81" s="4369">
        <v>6</v>
      </c>
      <c r="H81" s="4370"/>
      <c r="I81" s="4371"/>
      <c r="J81" s="668"/>
      <c r="K81" s="4372">
        <v>6</v>
      </c>
      <c r="L81" s="4373"/>
      <c r="M81" s="4373"/>
      <c r="N81" s="4373"/>
      <c r="O81" s="4374"/>
      <c r="P81" s="4375"/>
      <c r="Q81" s="4346"/>
      <c r="R81" s="4347"/>
    </row>
    <row r="82" spans="1:19" s="35" customFormat="1" ht="24.75" customHeight="1">
      <c r="A82" s="4369">
        <v>7</v>
      </c>
      <c r="B82" s="4370"/>
      <c r="C82" s="4370"/>
      <c r="D82" s="4370"/>
      <c r="E82" s="4371"/>
      <c r="F82" s="668"/>
      <c r="G82" s="4369">
        <v>7</v>
      </c>
      <c r="H82" s="4370"/>
      <c r="I82" s="4371"/>
      <c r="J82" s="921" t="s">
        <v>3061</v>
      </c>
      <c r="K82" s="4372">
        <v>7</v>
      </c>
      <c r="L82" s="4373"/>
      <c r="M82" s="4373"/>
      <c r="N82" s="4373"/>
      <c r="O82" s="4374"/>
      <c r="P82" s="4375"/>
      <c r="Q82" s="125"/>
      <c r="R82" s="125"/>
    </row>
    <row r="83" spans="1:19" s="35" customFormat="1" ht="24.75" customHeight="1">
      <c r="A83" s="4369">
        <v>8</v>
      </c>
      <c r="B83" s="4370"/>
      <c r="C83" s="4370"/>
      <c r="D83" s="4370"/>
      <c r="E83" s="4371"/>
      <c r="F83" s="668"/>
      <c r="G83" s="4369">
        <v>8</v>
      </c>
      <c r="H83" s="4370"/>
      <c r="I83" s="4371"/>
      <c r="J83" s="668"/>
      <c r="K83" s="4372">
        <v>8</v>
      </c>
      <c r="L83" s="4373"/>
      <c r="M83" s="4373"/>
      <c r="N83" s="4373"/>
      <c r="O83" s="4374"/>
      <c r="P83" s="4375"/>
      <c r="Q83" s="125"/>
      <c r="R83" s="125"/>
    </row>
    <row r="84" spans="1:19" s="35" customFormat="1" ht="24.75" customHeight="1">
      <c r="A84" s="4369">
        <v>9</v>
      </c>
      <c r="B84" s="4370"/>
      <c r="C84" s="4370"/>
      <c r="D84" s="4370"/>
      <c r="E84" s="4371"/>
      <c r="F84" s="668"/>
      <c r="G84" s="4369">
        <v>9</v>
      </c>
      <c r="H84" s="4370"/>
      <c r="I84" s="4371"/>
      <c r="J84" s="921" t="s">
        <v>3062</v>
      </c>
      <c r="K84" s="4372">
        <v>9</v>
      </c>
      <c r="L84" s="4373"/>
      <c r="M84" s="4373"/>
      <c r="N84" s="4373"/>
      <c r="O84" s="4374"/>
      <c r="P84" s="4375"/>
      <c r="Q84" s="125"/>
      <c r="R84" s="125"/>
    </row>
    <row r="85" spans="1:19" s="35" customFormat="1" ht="24.75" customHeight="1">
      <c r="A85" s="4369">
        <v>10</v>
      </c>
      <c r="B85" s="4370"/>
      <c r="C85" s="4370"/>
      <c r="D85" s="4370"/>
      <c r="E85" s="4371"/>
      <c r="F85" s="668"/>
      <c r="G85" s="4369">
        <v>10</v>
      </c>
      <c r="H85" s="4370"/>
      <c r="I85" s="4371"/>
      <c r="J85" s="668"/>
      <c r="K85" s="4372">
        <v>10</v>
      </c>
      <c r="L85" s="4373"/>
      <c r="M85" s="4373"/>
      <c r="N85" s="4373"/>
      <c r="O85" s="4374"/>
      <c r="P85" s="4375"/>
      <c r="Q85" s="125"/>
    </row>
    <row r="86" spans="1:19" s="35" customFormat="1" ht="24.75" customHeight="1">
      <c r="A86" s="4369">
        <v>11</v>
      </c>
      <c r="B86" s="4370"/>
      <c r="C86" s="4370"/>
      <c r="D86" s="4370"/>
      <c r="E86" s="4371"/>
      <c r="F86" s="668"/>
      <c r="G86" s="4369">
        <v>11</v>
      </c>
      <c r="H86" s="4370"/>
      <c r="I86" s="4371"/>
      <c r="J86" s="921" t="s">
        <v>3063</v>
      </c>
      <c r="K86" s="4369">
        <v>11</v>
      </c>
      <c r="L86" s="4370"/>
      <c r="M86" s="4370"/>
      <c r="N86" s="4371"/>
      <c r="O86" s="4374"/>
      <c r="P86" s="4375"/>
      <c r="Q86" s="125"/>
      <c r="R86" s="125"/>
    </row>
    <row r="87" spans="1:19" s="35" customFormat="1" ht="24.75" customHeight="1">
      <c r="A87" s="4602">
        <v>12</v>
      </c>
      <c r="B87" s="4603"/>
      <c r="C87" s="4603"/>
      <c r="D87" s="4603"/>
      <c r="E87" s="4604"/>
      <c r="F87" s="669"/>
      <c r="G87" s="4602">
        <v>12</v>
      </c>
      <c r="H87" s="4603"/>
      <c r="I87" s="4604"/>
      <c r="J87" s="669"/>
      <c r="K87" s="4602">
        <v>12</v>
      </c>
      <c r="L87" s="4603"/>
      <c r="M87" s="4603"/>
      <c r="N87" s="4604"/>
      <c r="O87" s="4605"/>
      <c r="P87" s="460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59" t="s">
        <v>3802</v>
      </c>
      <c r="J89" s="1522" t="e">
        <f>IF(OR($M$34="9% Credit Competitive Round only", $M$34="9% Credit &amp; HOME"),"9%",IF(OR($M$34="4% Credit/TE Bond", $M$34="4% Credit/TE Bond &amp; HOME", $M$34="4% Credit/TE Bond &amp; HOME NOFA", $M$34="4% Credit &amp; NHTF", $M$34="4% Credit &amp; NHTF &amp; HOME"),"4%",""))</f>
        <v>#REF!</v>
      </c>
      <c r="K89" s="1462" t="s">
        <v>362</v>
      </c>
      <c r="L89" s="1461"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3695</v>
      </c>
      <c r="G90" s="67"/>
      <c r="H90" s="29"/>
      <c r="I90" s="38"/>
      <c r="K90" s="404"/>
      <c r="L90" s="671"/>
      <c r="M90" s="119"/>
      <c r="N90" s="5"/>
      <c r="O90" s="3"/>
      <c r="P90" s="3"/>
      <c r="Q90" s="86"/>
      <c r="R90" s="307"/>
    </row>
    <row r="91" spans="1:19" s="36" customFormat="1" ht="13.5" customHeight="1">
      <c r="A91" s="107" t="s">
        <v>1836</v>
      </c>
      <c r="B91" s="153" t="s">
        <v>4043</v>
      </c>
      <c r="E91" s="32"/>
      <c r="G91" s="67"/>
      <c r="H91" s="44" t="s">
        <v>4542</v>
      </c>
      <c r="I91" s="1178" t="e">
        <f>#REF!</f>
        <v>#REF!</v>
      </c>
      <c r="M91" s="119"/>
      <c r="N91" s="5"/>
      <c r="P91" s="1852" t="e">
        <f>IF(AND(O89&gt;0,NOT($M$55="New Supply")), "Ineligible to score in this section, not New Supply!","")</f>
        <v>#REF!</v>
      </c>
      <c r="Q91" s="5"/>
      <c r="R91" s="307"/>
    </row>
    <row r="92" spans="1:19" s="70" customFormat="1" ht="9" customHeight="1">
      <c r="A92" s="107"/>
      <c r="B92" s="4394" t="s">
        <v>3689</v>
      </c>
      <c r="C92" s="4394"/>
      <c r="D92" s="4394"/>
      <c r="E92" s="4394"/>
      <c r="F92" s="4394"/>
      <c r="G92" s="4394"/>
      <c r="H92" s="4394"/>
      <c r="I92" s="4394"/>
      <c r="J92" s="4394"/>
      <c r="K92" s="4394"/>
      <c r="L92" s="4394"/>
      <c r="M92" s="119"/>
      <c r="N92" s="5"/>
      <c r="Q92" s="5"/>
      <c r="R92" s="307"/>
    </row>
    <row r="93" spans="1:19" s="70" customFormat="1" ht="13.5" customHeight="1">
      <c r="B93" s="4394"/>
      <c r="C93" s="4394"/>
      <c r="D93" s="4394"/>
      <c r="E93" s="4394"/>
      <c r="F93" s="4394"/>
      <c r="G93" s="4394"/>
      <c r="H93" s="4394"/>
      <c r="I93" s="4394"/>
      <c r="J93" s="4394"/>
      <c r="K93" s="4394"/>
      <c r="L93" s="4394"/>
      <c r="M93" s="674">
        <v>2</v>
      </c>
      <c r="N93" s="316" t="s">
        <v>1836</v>
      </c>
      <c r="O93" s="680" t="e">
        <f>IF(AND(OR($J$89="9%",$J$89="4%"),$L$89="New Supply"),MIN($M93,O94+O95),0)</f>
        <v>#REF!</v>
      </c>
      <c r="P93" s="680" t="e">
        <f>IF(NOT($J$89="9%"),0,MIN($M93, P94+P95))</f>
        <v>#REF!</v>
      </c>
    </row>
    <row r="94" spans="1:19" s="70" customFormat="1" ht="13.5" customHeight="1">
      <c r="A94" s="107"/>
      <c r="B94" s="1134" t="s">
        <v>1839</v>
      </c>
      <c r="C94" s="1124" t="s">
        <v>3690</v>
      </c>
      <c r="D94" s="29"/>
      <c r="H94" s="29" t="s">
        <v>3691</v>
      </c>
      <c r="I94" s="1123"/>
      <c r="J94" s="1180" t="e">
        <f>#REF!</f>
        <v>#REF!</v>
      </c>
      <c r="L94" s="4422" t="str">
        <f>IF(AND(O94&gt;0,O95&gt;0), "CHOOSE EITHER A OR B, NOT BOTH!", "")</f>
        <v/>
      </c>
      <c r="M94" s="457">
        <v>2</v>
      </c>
      <c r="N94" s="150" t="s">
        <v>1839</v>
      </c>
      <c r="O94" s="405"/>
      <c r="P94" s="413"/>
      <c r="Q94" s="1153" t="str">
        <f>IF(OR($O94=$M94,$O94=0,$O94=""),"","*CHECK!*")</f>
        <v/>
      </c>
      <c r="R94" s="782" t="s">
        <v>3929</v>
      </c>
    </row>
    <row r="95" spans="1:19" s="70" customFormat="1" ht="13.5" customHeight="1">
      <c r="A95" s="395" t="s">
        <v>2917</v>
      </c>
      <c r="B95" s="1134" t="s">
        <v>1841</v>
      </c>
      <c r="C95" s="1124" t="s">
        <v>3692</v>
      </c>
      <c r="D95" s="29"/>
      <c r="I95" s="1123"/>
      <c r="K95" s="29"/>
      <c r="L95" s="4422"/>
      <c r="M95" s="457">
        <v>2</v>
      </c>
      <c r="N95" s="150" t="s">
        <v>1841</v>
      </c>
      <c r="O95" s="406"/>
      <c r="P95" s="414"/>
      <c r="Q95" s="1153" t="str">
        <f>IF(OR($O95=$M95,$O95=0,$O95=""),"","*CHECK!*")</f>
        <v/>
      </c>
      <c r="R95" s="782" t="s">
        <v>3929</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5" t="s">
        <v>3693</v>
      </c>
      <c r="I97" s="4636"/>
      <c r="J97" s="1127" t="s">
        <v>3694</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1" t="e">
        <f>IF(OR(#REF!="",#REF!= 0),0,H98/#REF!)</f>
        <v>#REF!</v>
      </c>
      <c r="L98" s="1792"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3238</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0"/>
      <c r="B101" s="4111"/>
      <c r="C101" s="4111"/>
      <c r="D101" s="4111"/>
      <c r="E101" s="4111"/>
      <c r="F101" s="4111"/>
      <c r="G101" s="4111"/>
      <c r="H101" s="4111"/>
      <c r="I101" s="4111"/>
      <c r="J101" s="4111"/>
      <c r="K101" s="4111"/>
      <c r="L101" s="4111"/>
      <c r="M101" s="4111"/>
      <c r="N101" s="4111"/>
      <c r="O101" s="4111"/>
      <c r="P101" s="4112"/>
      <c r="Q101" s="353"/>
    </row>
    <row r="102" spans="1:18" ht="7.5" customHeight="1" thickBot="1"/>
    <row r="103" spans="1:18" s="36" customFormat="1" ht="13.5" customHeight="1" thickBot="1">
      <c r="A103" s="120" t="s">
        <v>1663</v>
      </c>
      <c r="B103" s="83" t="s">
        <v>3281</v>
      </c>
      <c r="D103" s="34"/>
      <c r="K103" s="1462" t="s">
        <v>362</v>
      </c>
      <c r="L103" s="1461"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3170</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3203</v>
      </c>
      <c r="D105" s="26"/>
      <c r="N105" s="48"/>
      <c r="O105" s="705"/>
      <c r="P105" s="1673"/>
    </row>
    <row r="106" spans="1:18" s="70" customFormat="1" ht="12.75" customHeight="1">
      <c r="A106" s="107" t="s">
        <v>1836</v>
      </c>
      <c r="B106" s="141" t="s">
        <v>1732</v>
      </c>
      <c r="C106" s="4"/>
      <c r="D106" s="4"/>
      <c r="F106" s="243"/>
      <c r="H106" s="646" t="s">
        <v>2461</v>
      </c>
      <c r="I106" s="4607" t="s">
        <v>3916</v>
      </c>
      <c r="J106" s="4608"/>
      <c r="K106" s="4608"/>
      <c r="L106" s="4609"/>
      <c r="M106" s="457">
        <v>20</v>
      </c>
      <c r="N106" s="150" t="s">
        <v>1836</v>
      </c>
      <c r="O106" s="1674"/>
      <c r="P106" s="1675"/>
      <c r="Q106" s="1153"/>
      <c r="R106" s="782" t="s">
        <v>3929</v>
      </c>
    </row>
    <row r="107" spans="1:18" s="70" customFormat="1" ht="12.75" customHeight="1">
      <c r="A107" s="107" t="s">
        <v>1838</v>
      </c>
      <c r="B107" s="141" t="s">
        <v>3197</v>
      </c>
      <c r="D107" s="867"/>
      <c r="F107" s="1179"/>
      <c r="H107" s="646" t="s">
        <v>3251</v>
      </c>
      <c r="I107" s="4610"/>
      <c r="J107" s="4517"/>
      <c r="K107" s="4517"/>
      <c r="L107" s="4611"/>
      <c r="M107" s="878" t="s">
        <v>1163</v>
      </c>
      <c r="N107" s="48" t="s">
        <v>1838</v>
      </c>
      <c r="O107" s="1676"/>
      <c r="P107" s="1677"/>
      <c r="R107" s="782" t="s">
        <v>3929</v>
      </c>
    </row>
    <row r="108" spans="1:18" s="36" customFormat="1" ht="12.75" customHeight="1" thickBot="1">
      <c r="A108" s="35"/>
      <c r="B108" s="924" t="s">
        <v>3158</v>
      </c>
      <c r="C108" s="35"/>
      <c r="D108" s="41"/>
      <c r="E108" s="41"/>
      <c r="F108" s="41"/>
      <c r="G108" s="41"/>
      <c r="H108" s="29"/>
      <c r="I108" s="4612"/>
      <c r="J108" s="4613"/>
      <c r="K108" s="4613"/>
      <c r="L108" s="4614"/>
      <c r="M108" s="39"/>
      <c r="N108" s="47"/>
      <c r="O108" s="3"/>
      <c r="P108" s="24"/>
    </row>
    <row r="109" spans="1:18" s="36" customFormat="1" ht="90" customHeight="1" thickTop="1" thickBot="1">
      <c r="A109" s="4427"/>
      <c r="B109" s="4428"/>
      <c r="C109" s="4428"/>
      <c r="D109" s="4428"/>
      <c r="E109" s="4428"/>
      <c r="F109" s="4428"/>
      <c r="G109" s="4428"/>
      <c r="H109" s="4428"/>
      <c r="I109" s="4428"/>
      <c r="J109" s="4428"/>
      <c r="K109" s="4428"/>
      <c r="L109" s="4428"/>
      <c r="M109" s="4428"/>
      <c r="N109" s="4428"/>
      <c r="O109" s="4428"/>
      <c r="P109" s="4429"/>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0"/>
      <c r="B111" s="4111"/>
      <c r="C111" s="4111"/>
      <c r="D111" s="4111"/>
      <c r="E111" s="4111"/>
      <c r="F111" s="4111"/>
      <c r="G111" s="4111"/>
      <c r="H111" s="4111"/>
      <c r="I111" s="4111"/>
      <c r="J111" s="4111"/>
      <c r="K111" s="4111"/>
      <c r="L111" s="4111"/>
      <c r="M111" s="4111"/>
      <c r="N111" s="4111"/>
      <c r="O111" s="4111"/>
      <c r="P111" s="4112"/>
      <c r="Q111" s="353"/>
      <c r="R111" s="354"/>
    </row>
    <row r="112" spans="1:18" ht="7.5" customHeight="1" thickBot="1">
      <c r="M112" s="26"/>
      <c r="N112" s="39"/>
      <c r="O112" s="119"/>
      <c r="P112" s="119"/>
    </row>
    <row r="113" spans="1:21" s="36" customFormat="1" ht="13.5" customHeight="1" thickBot="1">
      <c r="A113" s="120" t="s">
        <v>495</v>
      </c>
      <c r="B113" s="83" t="s">
        <v>2407</v>
      </c>
      <c r="D113" s="34"/>
      <c r="H113" s="1460" t="s">
        <v>4046</v>
      </c>
      <c r="I113" s="1534" t="s">
        <v>4042</v>
      </c>
      <c r="J113" s="1461" t="str">
        <f>M60</f>
        <v>&lt;&lt; Select Pool &gt;&gt;</v>
      </c>
      <c r="K113" s="1462" t="s">
        <v>362</v>
      </c>
      <c r="L113" s="1461" t="str">
        <f>M55</f>
        <v>&lt;&lt; Select Activity Type &gt;&gt;</v>
      </c>
      <c r="M113" s="119">
        <v>6</v>
      </c>
      <c r="N113" s="48"/>
      <c r="O113" s="1525">
        <f>MAX(O131,O138)</f>
        <v>0</v>
      </c>
      <c r="P113" s="1525">
        <f>MAX(P131,P138)</f>
        <v>0</v>
      </c>
      <c r="Q113" s="86" t="s">
        <v>415</v>
      </c>
      <c r="R113" s="866"/>
      <c r="S113" s="866"/>
      <c r="T113" s="866"/>
      <c r="U113" s="866"/>
    </row>
    <row r="114" spans="1:21" s="36" customFormat="1" ht="17.25" customHeight="1">
      <c r="A114" s="120"/>
      <c r="B114" s="81" t="s">
        <v>3239</v>
      </c>
      <c r="D114" s="34"/>
      <c r="H114" s="141"/>
      <c r="L114" s="1839"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3696</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3697</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4048</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4464</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4465</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8" t="s">
        <v>4468</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3240</v>
      </c>
      <c r="D123" s="34"/>
      <c r="F123" s="4559" t="s">
        <v>3131</v>
      </c>
      <c r="G123" s="4559"/>
      <c r="H123" s="4559"/>
      <c r="I123" s="4559"/>
      <c r="J123" s="4559" t="s">
        <v>3132</v>
      </c>
      <c r="K123" s="4559"/>
      <c r="L123" s="4559"/>
      <c r="M123" s="4559"/>
      <c r="N123" s="48"/>
      <c r="O123" s="4560" t="s">
        <v>3762</v>
      </c>
      <c r="P123" s="4561"/>
      <c r="Q123" s="86"/>
      <c r="R123" s="866"/>
      <c r="S123" s="866"/>
      <c r="T123" s="866"/>
      <c r="U123" s="866"/>
    </row>
    <row r="124" spans="1:21" s="36" customFormat="1" ht="12" customHeight="1">
      <c r="B124" s="1748"/>
      <c r="C124" s="1123" t="s">
        <v>4467</v>
      </c>
      <c r="E124" s="223"/>
      <c r="F124" s="4564"/>
      <c r="G124" s="4565"/>
      <c r="H124" s="4562"/>
      <c r="I124" s="4563"/>
      <c r="J124" s="4564"/>
      <c r="K124" s="4565"/>
      <c r="L124" s="4562"/>
      <c r="M124" s="4563"/>
      <c r="N124" s="48"/>
      <c r="Q124" s="86"/>
      <c r="R124" s="866"/>
      <c r="S124" s="866"/>
      <c r="T124" s="866"/>
      <c r="U124" s="866"/>
    </row>
    <row r="125" spans="1:21" s="36" customFormat="1" ht="12" customHeight="1">
      <c r="A125" s="1748"/>
      <c r="B125" s="1748"/>
      <c r="C125" s="1748"/>
      <c r="D125" s="236"/>
      <c r="E125" s="1747" t="s">
        <v>4049</v>
      </c>
      <c r="F125" s="4425"/>
      <c r="G125" s="4426"/>
      <c r="H125" s="4414"/>
      <c r="I125" s="4415"/>
      <c r="J125" s="4425"/>
      <c r="K125" s="4426"/>
      <c r="L125" s="4414"/>
      <c r="M125" s="4415"/>
      <c r="N125" s="48"/>
      <c r="O125" s="1229"/>
      <c r="P125" s="903"/>
      <c r="Q125" s="86"/>
      <c r="R125" s="866"/>
      <c r="S125" s="866"/>
      <c r="T125" s="866"/>
      <c r="U125" s="866"/>
    </row>
    <row r="126" spans="1:21" s="36" customFormat="1" ht="12" customHeight="1">
      <c r="A126" s="4437" t="s">
        <v>4574</v>
      </c>
      <c r="B126" s="4437"/>
      <c r="C126" s="1123" t="s">
        <v>4466</v>
      </c>
      <c r="E126" s="223"/>
      <c r="F126" s="4430"/>
      <c r="G126" s="4431"/>
      <c r="H126" s="4350"/>
      <c r="I126" s="4351"/>
      <c r="J126" s="4430"/>
      <c r="K126" s="4431"/>
      <c r="L126" s="4350"/>
      <c r="M126" s="4351"/>
      <c r="N126" s="48"/>
      <c r="O126" s="48"/>
      <c r="P126" s="48"/>
      <c r="Q126" s="86"/>
      <c r="R126" s="866"/>
      <c r="S126" s="866"/>
      <c r="T126" s="866"/>
      <c r="U126" s="866"/>
    </row>
    <row r="127" spans="1:21" s="36" customFormat="1" ht="12" customHeight="1">
      <c r="A127" s="4437"/>
      <c r="B127" s="4437"/>
      <c r="C127" s="236"/>
      <c r="D127" s="236"/>
      <c r="E127" s="1747" t="s">
        <v>3279</v>
      </c>
      <c r="F127" s="4423"/>
      <c r="G127" s="4424"/>
      <c r="H127" s="4409"/>
      <c r="I127" s="4410"/>
      <c r="J127" s="4423"/>
      <c r="K127" s="4424"/>
      <c r="L127" s="4409"/>
      <c r="M127" s="4410"/>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5" t="s">
        <v>4597</v>
      </c>
      <c r="B129" s="83"/>
      <c r="D129" s="34"/>
      <c r="I129" s="4433" t="str">
        <f>IF(AND(O131&gt;0,O138&gt;0),"Pick A or B, not both!","")</f>
        <v/>
      </c>
      <c r="J129" s="4433"/>
      <c r="K129" s="4433" t="str">
        <f>IF(AND(P131&gt;0,P138&gt;0),"Pick A or B, not both!","")</f>
        <v/>
      </c>
      <c r="L129" s="4433"/>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3155</v>
      </c>
      <c r="D131" s="34"/>
      <c r="F131" s="924" t="s">
        <v>4578</v>
      </c>
      <c r="M131" s="119">
        <v>6</v>
      </c>
      <c r="N131" s="316" t="s">
        <v>1836</v>
      </c>
      <c r="O131" s="1526">
        <f>IF(OR($J$113="Atlanta Metro",$J$113="Other Metro"),MIN($M131,O133+O134),0)</f>
        <v>0</v>
      </c>
      <c r="P131" s="1526">
        <f>IF(OR($J$113="Atlanta Metro",$J$113="Other Metro"),MIN($M131,P133+P134),0)</f>
        <v>0</v>
      </c>
      <c r="Q131" s="86"/>
    </row>
    <row r="132" spans="1:21" s="36" customFormat="1" ht="12.6" customHeight="1">
      <c r="A132" s="112"/>
      <c r="B132" s="29" t="s">
        <v>4050</v>
      </c>
      <c r="D132" s="34"/>
      <c r="F132" s="38"/>
      <c r="M132" s="119"/>
      <c r="N132" s="316"/>
      <c r="O132" s="176"/>
      <c r="P132" s="420"/>
      <c r="Q132" s="86"/>
    </row>
    <row r="133" spans="1:21" s="331" customFormat="1" ht="25.5" customHeight="1">
      <c r="B133" s="349" t="s">
        <v>1839</v>
      </c>
      <c r="C133" s="4558" t="s">
        <v>4572</v>
      </c>
      <c r="D133" s="4558"/>
      <c r="E133" s="4558"/>
      <c r="F133" s="4558"/>
      <c r="G133" s="4558"/>
      <c r="H133" s="4558"/>
      <c r="I133" s="4558"/>
      <c r="J133" s="4558"/>
      <c r="K133" s="4558"/>
      <c r="L133" s="4558"/>
      <c r="M133" s="1757">
        <v>6</v>
      </c>
      <c r="N133" s="373" t="s">
        <v>1839</v>
      </c>
      <c r="O133" s="1819"/>
      <c r="P133" s="1820"/>
      <c r="Q133" s="1153"/>
      <c r="R133" s="782" t="s">
        <v>3929</v>
      </c>
    </row>
    <row r="134" spans="1:21" s="331" customFormat="1" ht="12" customHeight="1">
      <c r="A134" s="455" t="s">
        <v>1273</v>
      </c>
      <c r="B134" s="349" t="s">
        <v>1841</v>
      </c>
      <c r="C134" s="3474" t="s">
        <v>4573</v>
      </c>
      <c r="D134" s="3474"/>
      <c r="E134" s="3474"/>
      <c r="F134" s="3474"/>
      <c r="G134" s="853"/>
      <c r="J134" s="4566" t="s">
        <v>4569</v>
      </c>
      <c r="K134" s="4567"/>
      <c r="L134" s="4568"/>
      <c r="M134" s="457">
        <v>5</v>
      </c>
      <c r="N134" s="347" t="s">
        <v>1841</v>
      </c>
      <c r="O134" s="1832"/>
      <c r="P134" s="1833"/>
      <c r="Q134" s="1719" t="s">
        <v>4565</v>
      </c>
      <c r="R134" s="1117" t="s">
        <v>4162</v>
      </c>
      <c r="S134" s="1117" t="s">
        <v>4047</v>
      </c>
    </row>
    <row r="135" spans="1:21" s="331" customFormat="1" ht="12" customHeight="1">
      <c r="B135" s="349"/>
      <c r="C135" s="3474"/>
      <c r="D135" s="3474"/>
      <c r="E135" s="3474"/>
      <c r="F135" s="3474"/>
      <c r="G135" s="853"/>
      <c r="H135" s="3303" t="s">
        <v>4567</v>
      </c>
      <c r="I135" s="3303"/>
      <c r="J135" s="4569"/>
      <c r="K135" s="4570"/>
      <c r="L135" s="4571"/>
      <c r="M135" s="4245" t="str">
        <f>IF(AND(O134&gt;0,O133&gt;0),"Pick A1 or A2!","")</f>
        <v/>
      </c>
      <c r="N135" s="4245"/>
      <c r="O135" s="4245"/>
      <c r="P135" s="4245"/>
      <c r="Q135" s="785"/>
      <c r="R135" s="1463">
        <v>0.25</v>
      </c>
      <c r="S135" s="1463">
        <v>5</v>
      </c>
    </row>
    <row r="136" spans="1:21" s="331" customFormat="1" ht="12" customHeight="1">
      <c r="B136" s="349"/>
      <c r="C136" s="3474"/>
      <c r="D136" s="3474"/>
      <c r="E136" s="3474"/>
      <c r="F136" s="3474"/>
      <c r="G136" s="853"/>
      <c r="H136" s="1678"/>
      <c r="I136" s="1813"/>
      <c r="J136" s="4569"/>
      <c r="K136" s="4570"/>
      <c r="L136" s="4571"/>
      <c r="Q136" s="785"/>
      <c r="R136" s="1463">
        <v>0.5</v>
      </c>
      <c r="S136" s="1463">
        <v>4.5</v>
      </c>
    </row>
    <row r="137" spans="1:21" s="331" customFormat="1" ht="12" customHeight="1">
      <c r="B137" s="349"/>
      <c r="C137" s="3474"/>
      <c r="D137" s="3474"/>
      <c r="E137" s="3474"/>
      <c r="F137" s="3474"/>
      <c r="G137" s="853"/>
      <c r="J137" s="4569"/>
      <c r="K137" s="4570"/>
      <c r="L137" s="4571"/>
      <c r="M137" s="70"/>
      <c r="N137" s="70"/>
      <c r="O137" s="70"/>
      <c r="P137" s="70"/>
      <c r="Q137" s="396"/>
      <c r="R137" s="1464">
        <v>1</v>
      </c>
      <c r="S137" s="1464">
        <v>4</v>
      </c>
    </row>
    <row r="138" spans="1:21" s="331" customFormat="1" ht="12" customHeight="1">
      <c r="A138" s="112" t="s">
        <v>1838</v>
      </c>
      <c r="B138" s="884" t="s">
        <v>3156</v>
      </c>
      <c r="C138" s="502"/>
      <c r="D138" s="502"/>
      <c r="F138" s="1811" t="s">
        <v>4564</v>
      </c>
      <c r="J138" s="4600" t="s">
        <v>3153</v>
      </c>
      <c r="K138" s="4601"/>
      <c r="L138" s="1746" t="s">
        <v>3154</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19" t="s">
        <v>4566</v>
      </c>
      <c r="R138" s="1814">
        <v>0.25</v>
      </c>
      <c r="S138" s="1814">
        <v>3</v>
      </c>
    </row>
    <row r="139" spans="1:21" s="36" customFormat="1" ht="12" customHeight="1">
      <c r="A139" s="120"/>
      <c r="B139" s="1543" t="s">
        <v>1839</v>
      </c>
      <c r="C139" s="3474" t="s">
        <v>4579</v>
      </c>
      <c r="D139" s="3474"/>
      <c r="E139" s="3474"/>
      <c r="F139" s="3474"/>
      <c r="G139" s="853"/>
      <c r="H139" s="3303" t="s">
        <v>4568</v>
      </c>
      <c r="I139" s="3303"/>
      <c r="J139" s="4416" t="s">
        <v>4584</v>
      </c>
      <c r="K139" s="4417"/>
      <c r="L139" s="4418"/>
      <c r="M139" s="457">
        <v>3</v>
      </c>
      <c r="N139" s="347" t="s">
        <v>1839</v>
      </c>
      <c r="O139" s="4392"/>
      <c r="P139" s="4395"/>
      <c r="Q139" s="785" t="str">
        <f>IF(OR($O141=$M141,$O141=0,$O141=""),"","*CHECK!*")</f>
        <v/>
      </c>
      <c r="R139" s="1463">
        <v>0.5</v>
      </c>
      <c r="S139" s="1463">
        <v>2</v>
      </c>
      <c r="U139" s="331"/>
    </row>
    <row r="140" spans="1:21" s="36" customFormat="1" ht="12" customHeight="1">
      <c r="A140" s="120"/>
      <c r="B140" s="878"/>
      <c r="C140" s="3474"/>
      <c r="D140" s="3474"/>
      <c r="E140" s="3474"/>
      <c r="F140" s="3474"/>
      <c r="G140" s="70"/>
      <c r="H140" s="1678"/>
      <c r="I140" s="1813"/>
      <c r="J140" s="4379" t="s">
        <v>4462</v>
      </c>
      <c r="K140" s="4380"/>
      <c r="L140" s="4381"/>
      <c r="M140" s="70"/>
      <c r="O140" s="4393"/>
      <c r="P140" s="4396"/>
      <c r="Q140" s="86"/>
      <c r="R140" s="1464">
        <v>1</v>
      </c>
      <c r="S140" s="1464">
        <v>1</v>
      </c>
      <c r="U140" s="331"/>
    </row>
    <row r="141" spans="1:21" s="36" customFormat="1" ht="11.25" customHeight="1">
      <c r="A141" s="455" t="s">
        <v>1273</v>
      </c>
      <c r="B141" s="1543" t="s">
        <v>1841</v>
      </c>
      <c r="C141" s="3474" t="s">
        <v>4571</v>
      </c>
      <c r="D141" s="3474"/>
      <c r="E141" s="3474"/>
      <c r="F141" s="3474"/>
      <c r="G141" s="3474"/>
      <c r="H141" s="3474"/>
      <c r="I141" s="1812"/>
      <c r="J141" s="4382"/>
      <c r="K141" s="4383"/>
      <c r="L141" s="4384"/>
      <c r="M141" s="457">
        <v>1</v>
      </c>
      <c r="N141" s="347" t="s">
        <v>1841</v>
      </c>
      <c r="O141" s="4617"/>
      <c r="P141" s="4436"/>
      <c r="U141" s="331"/>
    </row>
    <row r="142" spans="1:21" s="36" customFormat="1" ht="11.25" customHeight="1">
      <c r="B142" s="1815"/>
      <c r="C142" s="3474"/>
      <c r="D142" s="3474"/>
      <c r="E142" s="3474"/>
      <c r="F142" s="3474"/>
      <c r="G142" s="3474"/>
      <c r="H142" s="3474"/>
      <c r="I142" s="1812"/>
      <c r="J142" s="4385"/>
      <c r="K142" s="4386"/>
      <c r="L142" s="4387"/>
      <c r="O142" s="4617"/>
      <c r="P142" s="4436"/>
      <c r="T142" s="331"/>
      <c r="U142" s="331"/>
    </row>
    <row r="143" spans="1:21" s="331" customFormat="1" ht="12" customHeight="1">
      <c r="A143" s="1542" t="s">
        <v>1273</v>
      </c>
      <c r="B143" s="1543" t="s">
        <v>2326</v>
      </c>
      <c r="C143" s="3474" t="s">
        <v>4570</v>
      </c>
      <c r="D143" s="3474"/>
      <c r="E143" s="3474"/>
      <c r="F143" s="3474"/>
      <c r="G143" s="3474"/>
      <c r="H143" s="3474"/>
      <c r="I143" s="4391"/>
      <c r="J143" s="4379" t="s">
        <v>4463</v>
      </c>
      <c r="K143" s="4380"/>
      <c r="L143" s="4381"/>
      <c r="M143" s="1757">
        <v>2</v>
      </c>
      <c r="N143" s="373" t="s">
        <v>2326</v>
      </c>
      <c r="O143" s="4434"/>
      <c r="P143" s="4615"/>
      <c r="Q143" s="785"/>
      <c r="R143" s="782"/>
    </row>
    <row r="144" spans="1:21" s="36" customFormat="1" ht="36.75" customHeight="1">
      <c r="C144" s="3474"/>
      <c r="D144" s="3474"/>
      <c r="E144" s="3474"/>
      <c r="F144" s="3474"/>
      <c r="G144" s="3474"/>
      <c r="H144" s="3474"/>
      <c r="I144" s="4391"/>
      <c r="J144" s="4388"/>
      <c r="K144" s="4389"/>
      <c r="L144" s="4390"/>
      <c r="O144" s="4435"/>
      <c r="P144" s="4616"/>
    </row>
    <row r="145" spans="1:19" s="36" customFormat="1" ht="12.6" customHeight="1">
      <c r="A145" s="29" t="s">
        <v>3280</v>
      </c>
      <c r="B145" s="141"/>
      <c r="E145" s="34"/>
      <c r="K145" s="41"/>
      <c r="M145" s="53"/>
      <c r="N145" s="53"/>
      <c r="O145" s="53"/>
      <c r="P145" s="53"/>
      <c r="Q145" s="307"/>
      <c r="R145" s="307"/>
    </row>
    <row r="146" spans="1:19" s="36" customFormat="1" ht="11.25" customHeight="1" thickBot="1">
      <c r="A146" s="35"/>
      <c r="B146" s="924" t="s">
        <v>3158</v>
      </c>
      <c r="C146" s="35"/>
      <c r="D146" s="41"/>
      <c r="E146" s="41"/>
      <c r="F146" s="41"/>
      <c r="G146" s="41"/>
      <c r="H146" s="29"/>
      <c r="K146" s="41"/>
      <c r="M146" s="39"/>
      <c r="N146" s="47"/>
      <c r="O146" s="3"/>
      <c r="P146" s="24"/>
    </row>
    <row r="147" spans="1:19" s="36" customFormat="1" ht="29.25" customHeight="1" thickTop="1" thickBot="1">
      <c r="A147" s="4427"/>
      <c r="B147" s="4428"/>
      <c r="C147" s="4428"/>
      <c r="D147" s="4428"/>
      <c r="E147" s="4428"/>
      <c r="F147" s="4428"/>
      <c r="G147" s="4428"/>
      <c r="H147" s="4428"/>
      <c r="I147" s="4428"/>
      <c r="J147" s="4428"/>
      <c r="K147" s="4428"/>
      <c r="L147" s="4428"/>
      <c r="M147" s="4428"/>
      <c r="N147" s="4428"/>
      <c r="O147" s="4428"/>
      <c r="P147" s="4429"/>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0"/>
      <c r="B149" s="4111"/>
      <c r="C149" s="4111"/>
      <c r="D149" s="4111"/>
      <c r="E149" s="4111"/>
      <c r="F149" s="4111"/>
      <c r="G149" s="4111"/>
      <c r="H149" s="4111"/>
      <c r="I149" s="4111"/>
      <c r="J149" s="4111"/>
      <c r="K149" s="4111"/>
      <c r="L149" s="4111"/>
      <c r="M149" s="4111"/>
      <c r="N149" s="4111"/>
      <c r="O149" s="4111"/>
      <c r="P149" s="4112"/>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4051</v>
      </c>
      <c r="C152" s="874"/>
      <c r="D152" s="874"/>
      <c r="E152" s="874"/>
      <c r="G152" s="1462" t="s">
        <v>3698</v>
      </c>
      <c r="H152" s="854" t="str">
        <f>'Part VII-Threshold Criteria OLD'!$J$35</f>
        <v>&lt;&lt; Select PROPOSED Tenancy &gt;&gt;</v>
      </c>
      <c r="M152" s="119">
        <v>3</v>
      </c>
      <c r="N152" s="55"/>
      <c r="O152" s="1527"/>
      <c r="P152" s="1528"/>
      <c r="Q152" s="1153" t="str">
        <f>IF(OR($O152&lt;=$M152,$O152=0,$O152=""),"","*CHECK!*")</f>
        <v/>
      </c>
      <c r="R152" s="1530" t="s">
        <v>415</v>
      </c>
      <c r="S152" s="782" t="s">
        <v>3929</v>
      </c>
    </row>
    <row r="153" spans="1:19" ht="18.75" customHeight="1">
      <c r="C153" s="1457" t="s">
        <v>4615</v>
      </c>
      <c r="F153" s="1457"/>
      <c r="G153" s="1457"/>
      <c r="H153" s="1457"/>
      <c r="I153" s="1563"/>
      <c r="J153" s="1564"/>
      <c r="K153" s="1565"/>
      <c r="M153" s="36"/>
      <c r="N153"/>
      <c r="O153"/>
      <c r="P153" s="1872"/>
    </row>
    <row r="154" spans="1:19" ht="11.25" customHeight="1">
      <c r="C154" s="1457" t="s">
        <v>4614</v>
      </c>
      <c r="F154" s="1457"/>
      <c r="G154" s="1457"/>
      <c r="H154" s="1457"/>
      <c r="I154" s="1563"/>
      <c r="J154" s="4411" t="s">
        <v>4722</v>
      </c>
      <c r="K154" s="4412"/>
      <c r="L154" s="4412"/>
      <c r="M154" s="4413"/>
      <c r="N154"/>
      <c r="O154"/>
      <c r="P154"/>
    </row>
    <row r="155" spans="1:19" ht="12.75" customHeight="1">
      <c r="B155" s="429"/>
      <c r="C155" s="429"/>
      <c r="D155" s="429"/>
      <c r="F155" s="4168" t="s">
        <v>4524</v>
      </c>
      <c r="G155" s="4168"/>
      <c r="H155" s="4168" t="s">
        <v>4168</v>
      </c>
      <c r="I155" s="4168"/>
      <c r="J155" s="4397" t="s">
        <v>4525</v>
      </c>
      <c r="K155" s="4398"/>
      <c r="L155" s="4400" t="s">
        <v>4721</v>
      </c>
      <c r="M155" s="4401"/>
      <c r="N155" s="44"/>
      <c r="O155" s="1775"/>
      <c r="P155" s="1776"/>
    </row>
    <row r="156" spans="1:19" ht="30.75" customHeight="1">
      <c r="B156" s="429"/>
      <c r="C156" s="429"/>
      <c r="D156" s="429"/>
      <c r="F156" s="4168"/>
      <c r="G156" s="4168"/>
      <c r="H156" s="4168"/>
      <c r="I156" s="4168"/>
      <c r="J156" s="4399"/>
      <c r="K156" s="4398"/>
      <c r="L156" s="4168"/>
      <c r="M156" s="4402"/>
      <c r="N156" s="44"/>
      <c r="O156" s="1777"/>
      <c r="P156" s="1776"/>
    </row>
    <row r="157" spans="1:19" ht="12" customHeight="1">
      <c r="B157" s="81" t="s">
        <v>4526</v>
      </c>
      <c r="C157" s="876"/>
      <c r="D157" s="36"/>
      <c r="F157" s="4169"/>
      <c r="G157" s="4169"/>
      <c r="H157" s="4169"/>
      <c r="I157" s="4169"/>
      <c r="J157" s="4399"/>
      <c r="K157" s="4398"/>
      <c r="L157" s="4169"/>
      <c r="M157" s="4403"/>
      <c r="N157" s="44"/>
      <c r="O157" s="1777"/>
      <c r="P157" s="1776"/>
    </row>
    <row r="158" spans="1:19">
      <c r="B158" s="4404"/>
      <c r="C158" s="4405"/>
      <c r="D158" s="4405"/>
      <c r="E158" s="4406"/>
      <c r="F158" s="4404"/>
      <c r="G158" s="4406"/>
      <c r="H158" s="4404"/>
      <c r="I158" s="4406"/>
      <c r="J158" s="4407"/>
      <c r="K158" s="4408"/>
      <c r="L158" s="4407"/>
      <c r="M158" s="4408"/>
      <c r="N158" s="4362"/>
      <c r="O158" s="4363"/>
    </row>
    <row r="159" spans="1:19">
      <c r="B159" s="4364"/>
      <c r="C159" s="4365"/>
      <c r="D159" s="4365"/>
      <c r="E159" s="4366"/>
      <c r="F159" s="4364"/>
      <c r="G159" s="4366"/>
      <c r="H159" s="4364"/>
      <c r="I159" s="4366"/>
      <c r="J159" s="4367"/>
      <c r="K159" s="4368"/>
      <c r="L159" s="4367"/>
      <c r="M159" s="4368"/>
      <c r="N159" s="4352"/>
      <c r="O159" s="4353"/>
    </row>
    <row r="160" spans="1:19">
      <c r="B160" s="4364"/>
      <c r="C160" s="4365"/>
      <c r="D160" s="4365"/>
      <c r="E160" s="4366"/>
      <c r="F160" s="4364"/>
      <c r="G160" s="4366"/>
      <c r="H160" s="4364"/>
      <c r="I160" s="4366"/>
      <c r="J160" s="4367"/>
      <c r="K160" s="4368"/>
      <c r="L160" s="4367"/>
      <c r="M160" s="4368"/>
      <c r="N160" s="4352"/>
      <c r="O160" s="4353"/>
    </row>
    <row r="161" spans="1:26">
      <c r="B161" s="4364"/>
      <c r="C161" s="4365"/>
      <c r="D161" s="4365"/>
      <c r="E161" s="4366"/>
      <c r="F161" s="4364"/>
      <c r="G161" s="4366"/>
      <c r="H161" s="4364"/>
      <c r="I161" s="4366"/>
      <c r="J161" s="4367"/>
      <c r="K161" s="4368"/>
      <c r="L161" s="4367"/>
      <c r="M161" s="4368"/>
      <c r="N161" s="4352"/>
      <c r="O161" s="4353"/>
    </row>
    <row r="162" spans="1:26">
      <c r="B162" s="4364"/>
      <c r="C162" s="4365"/>
      <c r="D162" s="4365"/>
      <c r="E162" s="4366"/>
      <c r="F162" s="4364"/>
      <c r="G162" s="4366"/>
      <c r="H162" s="4364"/>
      <c r="I162" s="4366"/>
      <c r="J162" s="4367"/>
      <c r="K162" s="4368"/>
      <c r="L162" s="4367"/>
      <c r="M162" s="4368"/>
      <c r="N162" s="4352"/>
      <c r="O162" s="4353"/>
    </row>
    <row r="163" spans="1:26">
      <c r="B163" s="4355"/>
      <c r="C163" s="4356"/>
      <c r="D163" s="4356"/>
      <c r="E163" s="4357"/>
      <c r="F163" s="4355"/>
      <c r="G163" s="4357"/>
      <c r="H163" s="4355"/>
      <c r="I163" s="4357"/>
      <c r="J163" s="4358"/>
      <c r="K163" s="4359"/>
      <c r="L163" s="4358"/>
      <c r="M163" s="4359"/>
      <c r="N163" s="4360"/>
      <c r="O163" s="4361"/>
    </row>
    <row r="164" spans="1:26" s="36" customFormat="1" ht="10.5" customHeight="1" thickBot="1">
      <c r="A164" s="35"/>
      <c r="B164" s="924" t="s">
        <v>3158</v>
      </c>
      <c r="C164" s="35"/>
      <c r="D164" s="41"/>
      <c r="E164" s="41"/>
      <c r="F164" s="41"/>
      <c r="G164" s="41"/>
      <c r="H164" s="29"/>
      <c r="I164" s="29"/>
      <c r="J164" s="29"/>
      <c r="K164" s="29"/>
      <c r="M164" s="39"/>
      <c r="N164" s="47"/>
      <c r="O164" s="3"/>
      <c r="P164" s="24"/>
    </row>
    <row r="165" spans="1:26" s="36" customFormat="1" ht="21.75" customHeight="1" thickTop="1" thickBot="1">
      <c r="A165" s="4427"/>
      <c r="B165" s="4428"/>
      <c r="C165" s="4428"/>
      <c r="D165" s="4428"/>
      <c r="E165" s="4428"/>
      <c r="F165" s="4428"/>
      <c r="G165" s="4428"/>
      <c r="H165" s="4428"/>
      <c r="I165" s="4428"/>
      <c r="J165" s="4428"/>
      <c r="K165" s="4428"/>
      <c r="L165" s="4428"/>
      <c r="M165" s="4428"/>
      <c r="N165" s="4428"/>
      <c r="O165" s="4428"/>
      <c r="P165" s="4429"/>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7"/>
      <c r="B167" s="4278"/>
      <c r="C167" s="4278"/>
      <c r="D167" s="4278"/>
      <c r="E167" s="4278"/>
      <c r="F167" s="4278"/>
      <c r="G167" s="4278"/>
      <c r="H167" s="4278"/>
      <c r="I167" s="4278"/>
      <c r="J167" s="4278"/>
      <c r="K167" s="4278"/>
      <c r="L167" s="4278"/>
      <c r="M167" s="4278"/>
      <c r="N167" s="4278"/>
      <c r="O167" s="4278"/>
      <c r="P167" s="4279"/>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3253</v>
      </c>
      <c r="D169" s="38"/>
      <c r="E169" s="38"/>
      <c r="L169" s="1566" t="str">
        <f>IF(AND(O169&gt;0,O171="",O184=""),"Indicate subtotal score(s) in A or B below!","")</f>
        <v/>
      </c>
      <c r="M169" s="119">
        <v>7</v>
      </c>
      <c r="N169" s="5"/>
      <c r="O169" s="1571">
        <f>O171+O184</f>
        <v>0</v>
      </c>
      <c r="P169" s="1571">
        <f>P171+P184</f>
        <v>0</v>
      </c>
      <c r="Q169" s="86" t="s">
        <v>415</v>
      </c>
      <c r="R169" s="854" t="str">
        <f>IF(AND(O169&gt;0,NOT($M$55="New Supply")), "Ineligible to score in this section, not New Supply!","")</f>
        <v/>
      </c>
      <c r="S169" s="1539"/>
      <c r="T169" s="1539"/>
      <c r="U169" s="1539"/>
    </row>
    <row r="170" spans="1:26" s="36" customFormat="1" ht="2.25" customHeight="1">
      <c r="A170" s="86"/>
      <c r="C170" s="141"/>
      <c r="D170" s="141"/>
      <c r="E170" s="147"/>
      <c r="F170" s="141"/>
      <c r="G170" s="141"/>
      <c r="H170" s="141"/>
      <c r="I170" s="141"/>
      <c r="J170" s="141"/>
      <c r="K170" s="141"/>
      <c r="L170" s="141"/>
      <c r="M170" s="141"/>
      <c r="N170" s="141"/>
      <c r="O170" s="141"/>
      <c r="P170" s="141"/>
      <c r="R170" s="1539"/>
      <c r="S170" s="1539"/>
      <c r="T170" s="1539"/>
      <c r="U170" s="1539"/>
    </row>
    <row r="171" spans="1:26" s="36" customFormat="1" ht="12" customHeight="1">
      <c r="A171" s="107" t="s">
        <v>1836</v>
      </c>
      <c r="B171" s="141" t="s">
        <v>4075</v>
      </c>
      <c r="C171" s="141"/>
      <c r="D171" s="141"/>
      <c r="E171" s="141"/>
      <c r="F171" s="141"/>
      <c r="G171" s="141"/>
      <c r="H171" s="141"/>
      <c r="I171" s="141"/>
      <c r="J171" s="141"/>
      <c r="K171" s="141"/>
      <c r="L171" s="157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7">
        <f>MIN(M171,O172+O180+O181+O182)</f>
        <v>0</v>
      </c>
      <c r="P171" s="1567">
        <f>P172+P180+P181+P182</f>
        <v>0</v>
      </c>
      <c r="Q171" s="1153" t="str">
        <f>IF(OR($O171&lt;=$M171,$O171=""),"","*CHECK!*")</f>
        <v/>
      </c>
      <c r="R171" s="782"/>
      <c r="S171" s="1539"/>
      <c r="T171" s="1539"/>
      <c r="U171" s="1539"/>
    </row>
    <row r="172" spans="1:26" s="36" customFormat="1" ht="12.75" customHeight="1">
      <c r="A172" s="86"/>
      <c r="B172" s="1181" t="s">
        <v>1839</v>
      </c>
      <c r="C172" s="29" t="s">
        <v>4167</v>
      </c>
      <c r="D172" s="141"/>
      <c r="E172" s="141"/>
      <c r="F172" s="141"/>
      <c r="G172" s="141"/>
      <c r="H172" s="141"/>
      <c r="I172" s="141"/>
      <c r="J172" s="141"/>
      <c r="K172" s="141"/>
      <c r="L172" s="141"/>
      <c r="M172" s="457">
        <v>2</v>
      </c>
      <c r="N172" s="128" t="s">
        <v>1611</v>
      </c>
      <c r="O172" s="1500"/>
      <c r="P172" s="1550"/>
      <c r="Q172" s="1153" t="str">
        <f>IF(OR($O172=$M172,$O172=0,$O172=""),"","*CHECK!*")</f>
        <v/>
      </c>
      <c r="R172" s="782" t="s">
        <v>3929</v>
      </c>
      <c r="S172" s="1539"/>
      <c r="T172" s="1539"/>
      <c r="U172" s="1539"/>
    </row>
    <row r="173" spans="1:26" s="317" customFormat="1" ht="12" customHeight="1">
      <c r="B173" s="128" t="s">
        <v>2234</v>
      </c>
      <c r="C173" s="4109" t="s">
        <v>4575</v>
      </c>
      <c r="D173" s="4109"/>
      <c r="E173" s="4109"/>
      <c r="F173" s="4109"/>
      <c r="G173" s="4109"/>
      <c r="H173" s="4109"/>
      <c r="I173" s="4109"/>
      <c r="J173" s="4109"/>
      <c r="K173" s="4109"/>
      <c r="L173" s="128"/>
      <c r="M173" s="4432" t="s">
        <v>3993</v>
      </c>
      <c r="N173" s="4432"/>
      <c r="O173" s="4432"/>
      <c r="P173" s="4432"/>
      <c r="S173" s="1539"/>
      <c r="T173" s="1539"/>
      <c r="U173" s="1539"/>
      <c r="V173" s="333"/>
      <c r="W173" s="333"/>
      <c r="X173" s="333"/>
      <c r="Y173" s="333"/>
      <c r="Z173" s="333"/>
    </row>
    <row r="174" spans="1:26" s="36" customFormat="1" ht="12.75" customHeight="1">
      <c r="A174" s="305"/>
      <c r="B174" s="49"/>
      <c r="C174" s="4109"/>
      <c r="D174" s="4109"/>
      <c r="E174" s="4109"/>
      <c r="F174" s="4109"/>
      <c r="G174" s="4109"/>
      <c r="H174" s="4109"/>
      <c r="I174" s="4109"/>
      <c r="J174" s="4109"/>
      <c r="K174" s="4109"/>
      <c r="L174" s="128" t="s">
        <v>2234</v>
      </c>
      <c r="M174" s="4419" t="s">
        <v>3204</v>
      </c>
      <c r="N174" s="4420"/>
      <c r="O174" s="4420"/>
      <c r="P174" s="4421"/>
      <c r="S174" s="1539"/>
      <c r="T174" s="1539"/>
      <c r="U174" s="1539"/>
    </row>
    <row r="175" spans="1:26" s="26" customFormat="1" ht="12.75" customHeight="1">
      <c r="B175" s="49" t="s">
        <v>2235</v>
      </c>
      <c r="C175" s="29" t="s">
        <v>3833</v>
      </c>
      <c r="D175" s="29"/>
      <c r="E175" s="29"/>
      <c r="F175" s="29"/>
      <c r="G175" s="29"/>
      <c r="H175" s="29"/>
      <c r="L175" s="49" t="s">
        <v>2235</v>
      </c>
      <c r="M175" s="4416" t="s">
        <v>3204</v>
      </c>
      <c r="N175" s="4417"/>
      <c r="O175" s="4417"/>
      <c r="P175" s="4418"/>
      <c r="S175" s="1539"/>
      <c r="T175" s="1539"/>
      <c r="U175" s="1539"/>
      <c r="V175" s="72"/>
      <c r="W175" s="72"/>
      <c r="X175" s="72"/>
      <c r="Y175" s="72"/>
      <c r="Z175" s="72"/>
    </row>
    <row r="176" spans="1:26" s="26" customFormat="1" ht="12.75" customHeight="1">
      <c r="B176" s="49" t="s">
        <v>2236</v>
      </c>
      <c r="C176" s="29" t="s">
        <v>4073</v>
      </c>
      <c r="D176" s="29"/>
      <c r="E176" s="29"/>
      <c r="F176" s="29"/>
      <c r="G176" s="29"/>
      <c r="H176" s="29"/>
      <c r="L176" s="49" t="s">
        <v>2236</v>
      </c>
      <c r="M176" s="4416" t="s">
        <v>3204</v>
      </c>
      <c r="N176" s="4417"/>
      <c r="O176" s="4417"/>
      <c r="P176" s="4418"/>
      <c r="Q176" s="1257">
        <f>IF(K176="Yes",1,0)</f>
        <v>0</v>
      </c>
      <c r="S176" s="1539"/>
      <c r="T176" s="1539"/>
      <c r="U176" s="1539"/>
      <c r="V176" s="1257" t="e">
        <f>IF(#REF!="Yes",1,0)</f>
        <v>#REF!</v>
      </c>
      <c r="W176" s="72"/>
      <c r="X176" s="72"/>
      <c r="Y176" s="72"/>
      <c r="Z176" s="72"/>
    </row>
    <row r="177" spans="1:26" s="26" customFormat="1" ht="12.75" customHeight="1">
      <c r="A177" s="48"/>
      <c r="B177" s="49" t="s">
        <v>2237</v>
      </c>
      <c r="C177" s="29" t="s">
        <v>4074</v>
      </c>
      <c r="D177" s="29"/>
      <c r="E177" s="29"/>
      <c r="F177" s="29"/>
      <c r="G177" s="29"/>
      <c r="L177" s="49" t="s">
        <v>2237</v>
      </c>
      <c r="M177" s="4469" t="s">
        <v>3204</v>
      </c>
      <c r="N177" s="4470"/>
      <c r="O177" s="4470"/>
      <c r="P177" s="4471"/>
      <c r="Q177" s="1257">
        <f>IF(K177="Yes",1,0)</f>
        <v>0</v>
      </c>
      <c r="S177" s="1539"/>
      <c r="T177" s="1539"/>
      <c r="U177" s="1539"/>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39"/>
      <c r="S178" s="1539"/>
      <c r="T178" s="1539"/>
      <c r="U178" s="1539"/>
    </row>
    <row r="179" spans="1:26" s="36" customFormat="1" ht="9.75" customHeight="1">
      <c r="A179" s="305"/>
      <c r="B179" s="306" t="s">
        <v>1841</v>
      </c>
      <c r="C179" s="89" t="s">
        <v>4150</v>
      </c>
      <c r="D179" s="108"/>
      <c r="E179" s="108"/>
      <c r="F179" s="108"/>
      <c r="G179" s="108"/>
      <c r="H179" s="108"/>
      <c r="I179" s="108"/>
      <c r="K179" s="922"/>
      <c r="L179" s="922"/>
      <c r="R179" s="1539"/>
      <c r="S179" s="1539"/>
      <c r="T179" s="1539"/>
      <c r="U179" s="1539"/>
    </row>
    <row r="180" spans="1:26">
      <c r="A180" s="395"/>
      <c r="B180" s="128" t="s">
        <v>2234</v>
      </c>
      <c r="C180" s="4109" t="s">
        <v>4077</v>
      </c>
      <c r="D180" s="4109"/>
      <c r="E180" s="4109"/>
      <c r="F180" s="4109"/>
      <c r="G180" s="4109"/>
      <c r="H180" s="4109"/>
      <c r="I180" s="4109"/>
      <c r="J180" s="4109"/>
      <c r="K180" s="4109"/>
      <c r="L180" s="4109"/>
      <c r="M180" s="1757">
        <v>1</v>
      </c>
      <c r="N180" s="128" t="s">
        <v>3947</v>
      </c>
      <c r="O180" s="1547"/>
      <c r="P180" s="1551"/>
      <c r="Q180" s="1153" t="str">
        <f>IF(OR($O180=$M180,$O180=0,$O180=""),"","*CHECK!*")</f>
        <v/>
      </c>
      <c r="R180" s="782" t="s">
        <v>3929</v>
      </c>
    </row>
    <row r="181" spans="1:26" ht="36.75" customHeight="1">
      <c r="A181" s="395"/>
      <c r="B181" s="117" t="s">
        <v>2235</v>
      </c>
      <c r="C181" s="4109" t="s">
        <v>4078</v>
      </c>
      <c r="D181" s="4109"/>
      <c r="E181" s="4109"/>
      <c r="F181" s="4109"/>
      <c r="G181" s="4109"/>
      <c r="H181" s="4109"/>
      <c r="I181" s="4109"/>
      <c r="J181" s="4109"/>
      <c r="K181" s="4109"/>
      <c r="L181" s="4109"/>
      <c r="M181" s="1757">
        <v>1</v>
      </c>
      <c r="N181" s="128" t="s">
        <v>4159</v>
      </c>
      <c r="O181" s="1568"/>
      <c r="P181" s="1569"/>
      <c r="Q181" s="1153" t="str">
        <f>IF(OR($O181=$M181,$O181=0,$O181=""),"","*CHECK!*")</f>
        <v/>
      </c>
      <c r="R181" s="782" t="s">
        <v>3929</v>
      </c>
    </row>
    <row r="182" spans="1:26" ht="12" customHeight="1">
      <c r="A182" s="395"/>
      <c r="B182" s="1518" t="s">
        <v>2236</v>
      </c>
      <c r="C182" s="44" t="s">
        <v>4161</v>
      </c>
      <c r="D182" s="100"/>
      <c r="E182" s="100"/>
      <c r="F182" s="100"/>
      <c r="G182" s="100"/>
      <c r="H182" s="100"/>
      <c r="I182" s="100"/>
      <c r="J182" s="100"/>
      <c r="K182" s="100"/>
      <c r="L182" s="100"/>
      <c r="M182" s="457">
        <v>1</v>
      </c>
      <c r="N182" s="48" t="s">
        <v>4160</v>
      </c>
      <c r="O182" s="1548"/>
      <c r="P182" s="1552"/>
      <c r="Q182" s="1153" t="str">
        <f>IF(OR($O182=$M182,$O182=0,$O182=""),"","*CHECK!*")</f>
        <v/>
      </c>
      <c r="R182" s="782" t="s">
        <v>3929</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3699</v>
      </c>
      <c r="D184" s="26"/>
      <c r="F184" s="1130"/>
      <c r="K184" s="902"/>
      <c r="L184" s="307" t="str">
        <f>IF(OR($O184=$M184,$O184=0,$O184=1,$O184=""),"","* * Check Score! * *")</f>
        <v/>
      </c>
      <c r="M184" s="457">
        <v>2</v>
      </c>
      <c r="N184" s="48" t="s">
        <v>1838</v>
      </c>
      <c r="O184" s="458"/>
      <c r="P184" s="652"/>
      <c r="Q184" s="785" t="str">
        <f>IF(OR($O184=$M184,$O184=0,$O184=""),"","*CHECK!*")</f>
        <v/>
      </c>
      <c r="R184" s="782" t="s">
        <v>3929</v>
      </c>
    </row>
    <row r="185" spans="1:26" s="70" customFormat="1" ht="10.5" customHeight="1" thickBot="1">
      <c r="A185" s="35"/>
      <c r="B185" s="924" t="s">
        <v>3158</v>
      </c>
      <c r="C185" s="35"/>
      <c r="D185" s="41"/>
      <c r="E185" s="41"/>
      <c r="F185" s="41"/>
      <c r="G185" s="41"/>
      <c r="H185" s="29"/>
      <c r="I185" s="29"/>
      <c r="J185" s="29"/>
      <c r="K185" s="29"/>
      <c r="M185" s="39"/>
      <c r="N185" s="5"/>
      <c r="O185" s="3"/>
      <c r="P185" s="119"/>
    </row>
    <row r="186" spans="1:26" s="36" customFormat="1" ht="21.75" customHeight="1" thickTop="1" thickBot="1">
      <c r="A186" s="4427"/>
      <c r="B186" s="4428"/>
      <c r="C186" s="4428"/>
      <c r="D186" s="4428"/>
      <c r="E186" s="4428"/>
      <c r="F186" s="4428"/>
      <c r="G186" s="4428"/>
      <c r="H186" s="4428"/>
      <c r="I186" s="4428"/>
      <c r="J186" s="4428"/>
      <c r="K186" s="4428"/>
      <c r="L186" s="4428"/>
      <c r="M186" s="4428"/>
      <c r="N186" s="4428"/>
      <c r="O186" s="4428"/>
      <c r="P186" s="4429"/>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7"/>
      <c r="B188" s="4278"/>
      <c r="C188" s="4278"/>
      <c r="D188" s="4278"/>
      <c r="E188" s="4278"/>
      <c r="F188" s="4278"/>
      <c r="G188" s="4278"/>
      <c r="H188" s="4278"/>
      <c r="I188" s="4278"/>
      <c r="J188" s="4278"/>
      <c r="K188" s="4278"/>
      <c r="L188" s="4278"/>
      <c r="M188" s="4278"/>
      <c r="N188" s="4278"/>
      <c r="O188" s="4278"/>
      <c r="P188" s="4279"/>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3254</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3555</v>
      </c>
      <c r="C191" s="874"/>
      <c r="D191" s="874"/>
      <c r="E191" s="874"/>
      <c r="F191" s="874"/>
      <c r="G191" s="874"/>
      <c r="H191" s="874"/>
      <c r="L191" s="1816" t="str">
        <f>IF(OR(O$233&gt;0,O$205&gt;0),"Applicant is ineligible for points in this section!  Points claimed in Stable Communities or Community Designations.","")</f>
        <v/>
      </c>
      <c r="M191" s="119"/>
      <c r="N191" s="55"/>
      <c r="O191" s="372"/>
      <c r="P191" s="1020"/>
      <c r="Q191" s="86"/>
      <c r="R191" s="1540"/>
      <c r="S191" s="1540"/>
      <c r="T191" s="1540"/>
      <c r="U191" s="1540"/>
    </row>
    <row r="192" spans="1:26" s="36" customFormat="1" ht="13.5" customHeight="1">
      <c r="A192" s="120"/>
      <c r="B192" s="1375" t="s">
        <v>4151</v>
      </c>
      <c r="C192" s="874"/>
      <c r="D192" s="874"/>
      <c r="E192" s="874"/>
      <c r="F192" s="874"/>
      <c r="G192" s="874"/>
      <c r="H192" s="874"/>
      <c r="L192" s="1131"/>
      <c r="M192" s="119"/>
      <c r="N192" s="119"/>
      <c r="O192" s="119"/>
      <c r="P192" s="119"/>
      <c r="Q192" s="86"/>
      <c r="R192" s="1540"/>
      <c r="S192" s="1540"/>
      <c r="T192" s="1540"/>
      <c r="U192" s="1540"/>
    </row>
    <row r="193" spans="1:24" ht="11.65" customHeight="1">
      <c r="A193" s="107" t="s">
        <v>697</v>
      </c>
      <c r="B193" s="141" t="s">
        <v>4109</v>
      </c>
      <c r="D193" s="26"/>
      <c r="G193" s="369"/>
      <c r="N193"/>
      <c r="O193" s="31"/>
      <c r="P193" s="31"/>
      <c r="Q193" s="241"/>
    </row>
    <row r="194" spans="1:24" s="1260" customFormat="1" ht="12.75" customHeight="1">
      <c r="B194" s="349" t="s">
        <v>1839</v>
      </c>
      <c r="C194" s="4109" t="s">
        <v>4106</v>
      </c>
      <c r="D194" s="4109"/>
      <c r="E194" s="4109"/>
      <c r="F194" s="4109"/>
      <c r="G194" s="4109"/>
      <c r="H194" s="4109"/>
      <c r="I194" s="4109"/>
      <c r="J194" s="4109"/>
      <c r="K194" s="4109"/>
      <c r="L194" s="4109"/>
      <c r="M194" s="871" t="s">
        <v>697</v>
      </c>
      <c r="N194" s="316" t="s">
        <v>1839</v>
      </c>
      <c r="O194" s="881"/>
      <c r="P194" s="880"/>
      <c r="Q194" s="934"/>
      <c r="V194" s="1510"/>
      <c r="W194" s="1510"/>
    </row>
    <row r="195" spans="1:24" s="26" customFormat="1" ht="12.75" customHeight="1">
      <c r="A195" s="395"/>
      <c r="B195" s="349" t="s">
        <v>1841</v>
      </c>
      <c r="C195" s="33" t="s">
        <v>4107</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9" t="s">
        <v>4110</v>
      </c>
      <c r="D196" s="4109"/>
      <c r="E196" s="4109"/>
      <c r="F196" s="4109"/>
      <c r="G196" s="4109"/>
      <c r="H196" s="4109"/>
      <c r="I196" s="4109"/>
      <c r="J196" s="4109"/>
      <c r="K196" s="4109"/>
      <c r="L196" s="4109"/>
      <c r="M196" s="456"/>
      <c r="N196" s="316" t="s">
        <v>2326</v>
      </c>
      <c r="O196" s="883"/>
      <c r="P196" s="882"/>
      <c r="Q196" s="787"/>
      <c r="V196" s="929"/>
      <c r="W196" s="929"/>
    </row>
    <row r="197" spans="1:24" ht="11.65" customHeight="1">
      <c r="A197" s="107" t="s">
        <v>1957</v>
      </c>
      <c r="B197" s="141" t="s">
        <v>4108</v>
      </c>
      <c r="D197" s="26"/>
      <c r="G197" s="369"/>
      <c r="N197"/>
      <c r="O197" s="31"/>
      <c r="P197" s="31"/>
      <c r="Q197" s="241"/>
    </row>
    <row r="198" spans="1:24" s="1260" customFormat="1" ht="23.25" customHeight="1">
      <c r="B198" s="349" t="s">
        <v>1839</v>
      </c>
      <c r="C198" s="4109" t="s">
        <v>4111</v>
      </c>
      <c r="D198" s="4109"/>
      <c r="E198" s="4109"/>
      <c r="F198" s="4109"/>
      <c r="G198" s="4109"/>
      <c r="H198" s="4109"/>
      <c r="I198" s="4109"/>
      <c r="J198" s="4109"/>
      <c r="K198" s="4109"/>
      <c r="L198" s="4109"/>
      <c r="M198" s="871" t="s">
        <v>1957</v>
      </c>
      <c r="N198" s="316" t="s">
        <v>1839</v>
      </c>
      <c r="O198" s="881"/>
      <c r="P198" s="880"/>
      <c r="Q198" s="934"/>
      <c r="V198" s="1510"/>
      <c r="W198" s="1510"/>
    </row>
    <row r="199" spans="1:24" s="26" customFormat="1" ht="23.25" customHeight="1">
      <c r="A199" s="395"/>
      <c r="B199" s="349" t="s">
        <v>1841</v>
      </c>
      <c r="C199" s="4109" t="s">
        <v>4152</v>
      </c>
      <c r="D199" s="4109"/>
      <c r="E199" s="4109"/>
      <c r="F199" s="4109"/>
      <c r="G199" s="4109"/>
      <c r="H199" s="4109"/>
      <c r="I199" s="4109"/>
      <c r="J199" s="4109"/>
      <c r="K199" s="4109"/>
      <c r="L199" s="4109"/>
      <c r="M199" s="103"/>
      <c r="N199" s="316" t="s">
        <v>1841</v>
      </c>
      <c r="O199" s="883"/>
      <c r="P199" s="882"/>
      <c r="Q199" s="787"/>
      <c r="V199" s="929"/>
      <c r="W199" s="929"/>
    </row>
    <row r="200" spans="1:24" s="36" customFormat="1" ht="12" customHeight="1" thickBot="1">
      <c r="A200" s="35"/>
      <c r="B200" s="924" t="s">
        <v>3158</v>
      </c>
      <c r="C200" s="35"/>
      <c r="D200" s="41"/>
      <c r="E200" s="41"/>
      <c r="F200" s="41"/>
      <c r="G200" s="41"/>
      <c r="H200" s="29"/>
      <c r="I200" s="29"/>
      <c r="M200" s="39"/>
      <c r="N200" s="47"/>
      <c r="O200" s="3"/>
      <c r="P200" s="24"/>
    </row>
    <row r="201" spans="1:24" s="36" customFormat="1" ht="45.6" customHeight="1" thickTop="1" thickBot="1">
      <c r="A201" s="4490"/>
      <c r="B201" s="4491"/>
      <c r="C201" s="4491"/>
      <c r="D201" s="4491"/>
      <c r="E201" s="4491"/>
      <c r="F201" s="4491"/>
      <c r="G201" s="4491"/>
      <c r="H201" s="4491"/>
      <c r="I201" s="4491"/>
      <c r="J201" s="4491"/>
      <c r="K201" s="4491"/>
      <c r="L201" s="4491"/>
      <c r="M201" s="4491"/>
      <c r="N201" s="4491"/>
      <c r="O201" s="4491"/>
      <c r="P201" s="4492"/>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6"/>
      <c r="B203" s="4377"/>
      <c r="C203" s="4377"/>
      <c r="D203" s="4377"/>
      <c r="E203" s="4377"/>
      <c r="F203" s="4377"/>
      <c r="G203" s="4377"/>
      <c r="H203" s="4377"/>
      <c r="I203" s="4377"/>
      <c r="J203" s="4377"/>
      <c r="K203" s="4377"/>
      <c r="L203" s="4377"/>
      <c r="M203" s="4377"/>
      <c r="N203" s="4377"/>
      <c r="O203" s="4377"/>
      <c r="P203" s="4378"/>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1"/>
      <c r="T205" s="1541"/>
      <c r="U205" s="1541"/>
      <c r="V205" s="36"/>
      <c r="W205" s="36"/>
      <c r="X205" s="36"/>
    </row>
    <row r="206" spans="1:24" s="70" customFormat="1" ht="3" customHeight="1">
      <c r="A206" s="120"/>
      <c r="B206" s="83"/>
      <c r="D206" s="38"/>
      <c r="E206" s="38"/>
      <c r="G206" s="147"/>
      <c r="M206" s="455"/>
      <c r="Q206" s="86"/>
      <c r="S206" s="1541"/>
      <c r="T206" s="1541"/>
      <c r="U206" s="1541"/>
      <c r="V206" s="36"/>
      <c r="W206" s="36"/>
      <c r="X206" s="36"/>
    </row>
    <row r="207" spans="1:24" s="70" customFormat="1" ht="12.75" customHeight="1">
      <c r="A207" s="1511" t="s">
        <v>1836</v>
      </c>
      <c r="B207" s="141" t="s">
        <v>3700</v>
      </c>
      <c r="D207" s="38"/>
      <c r="E207" s="38"/>
      <c r="K207" s="1258"/>
      <c r="M207" s="457">
        <v>5</v>
      </c>
      <c r="N207" s="48" t="s">
        <v>1836</v>
      </c>
      <c r="O207" s="458"/>
      <c r="P207" s="652"/>
      <c r="Q207" s="1153" t="str">
        <f>IF(O207&lt;=M207,"","*CHECK!*")</f>
        <v/>
      </c>
      <c r="R207" s="782" t="s">
        <v>3929</v>
      </c>
      <c r="S207" s="1541"/>
      <c r="T207" s="1541"/>
      <c r="U207" s="1541"/>
    </row>
    <row r="208" spans="1:24" ht="12.75" customHeight="1">
      <c r="B208" s="1511"/>
      <c r="C208" s="29" t="s">
        <v>4153</v>
      </c>
      <c r="D208" s="70"/>
      <c r="E208" s="38"/>
      <c r="F208" s="38"/>
      <c r="G208" s="70"/>
      <c r="H208" s="70"/>
      <c r="I208" s="70"/>
      <c r="J208" s="4446" t="s">
        <v>3120</v>
      </c>
      <c r="K208" s="4447"/>
      <c r="L208" s="4448"/>
      <c r="M208" s="4449"/>
      <c r="N208" s="53"/>
      <c r="R208" s="86"/>
      <c r="S208" s="70"/>
    </row>
    <row r="209" spans="1:27" ht="12.75" customHeight="1">
      <c r="C209" s="673" t="s">
        <v>4154</v>
      </c>
      <c r="D209" s="44"/>
      <c r="J209" s="4511"/>
      <c r="K209" s="4512"/>
      <c r="L209" s="4512"/>
      <c r="M209" s="4513"/>
      <c r="N209" s="53"/>
      <c r="O209" s="53"/>
      <c r="P209" s="53"/>
      <c r="R209" s="70"/>
      <c r="S209" s="1541"/>
    </row>
    <row r="210" spans="1:27" ht="6" customHeight="1">
      <c r="A210" s="399"/>
      <c r="B210" s="672"/>
      <c r="C210" s="44"/>
      <c r="M210" s="53"/>
      <c r="N210" s="869"/>
      <c r="O210" s="119"/>
      <c r="P210" s="119"/>
      <c r="S210" s="1541"/>
      <c r="T210" s="1541"/>
      <c r="U210" s="1541"/>
    </row>
    <row r="211" spans="1:27" s="26" customFormat="1" ht="12.75" customHeight="1">
      <c r="A211" s="674" t="s">
        <v>1838</v>
      </c>
      <c r="B211" s="1134" t="s">
        <v>4112</v>
      </c>
      <c r="C211" s="29"/>
      <c r="K211" s="48"/>
      <c r="L211" s="48"/>
      <c r="M211" s="457">
        <v>5</v>
      </c>
      <c r="N211" s="48" t="s">
        <v>1838</v>
      </c>
      <c r="O211" s="458"/>
      <c r="P211" s="652"/>
      <c r="Q211" s="1153" t="str">
        <f>IF(O211&lt;=M211,"","*CHECK!*")</f>
        <v/>
      </c>
      <c r="R211" s="782" t="s">
        <v>3929</v>
      </c>
      <c r="S211" s="1541"/>
      <c r="T211" s="1541"/>
      <c r="U211" s="1541"/>
    </row>
    <row r="212" spans="1:27">
      <c r="C212" s="1549" t="s">
        <v>4118</v>
      </c>
      <c r="E212" s="4625" t="s">
        <v>4117</v>
      </c>
      <c r="F212" s="4625"/>
      <c r="G212" s="4625"/>
      <c r="H212" s="4625"/>
      <c r="I212" s="1144" t="s">
        <v>4144</v>
      </c>
      <c r="J212" s="4625" t="s">
        <v>4117</v>
      </c>
      <c r="K212" s="4625"/>
      <c r="L212" s="4625"/>
      <c r="M212" s="4625"/>
      <c r="N212"/>
      <c r="O212"/>
      <c r="P212"/>
    </row>
    <row r="213" spans="1:27" ht="13.5" customHeight="1">
      <c r="B213" s="399"/>
      <c r="C213" s="29" t="s">
        <v>4115</v>
      </c>
      <c r="E213" s="4626"/>
      <c r="F213" s="4627"/>
      <c r="G213" s="4627"/>
      <c r="H213" s="4628"/>
      <c r="I213" s="1778" t="s">
        <v>905</v>
      </c>
      <c r="J213" s="4508"/>
      <c r="K213" s="4509"/>
      <c r="L213" s="4509"/>
      <c r="M213" s="4510"/>
      <c r="N213"/>
      <c r="Q213" s="24"/>
      <c r="R213" s="24"/>
      <c r="S213" s="24"/>
      <c r="T213" s="24"/>
      <c r="U213" s="24"/>
      <c r="V213" s="24"/>
      <c r="W213" s="24"/>
      <c r="X213" s="24"/>
      <c r="Y213" s="24"/>
      <c r="Z213" s="24"/>
      <c r="AA213" s="1779"/>
    </row>
    <row r="214" spans="1:27" ht="13.5" customHeight="1">
      <c r="C214" s="29" t="s">
        <v>4116</v>
      </c>
      <c r="E214" s="4499"/>
      <c r="F214" s="4500"/>
      <c r="G214" s="4500"/>
      <c r="H214" s="4501"/>
      <c r="I214" s="1817"/>
      <c r="J214" s="4514"/>
      <c r="K214" s="4515"/>
      <c r="L214" s="4515"/>
      <c r="M214" s="4516"/>
      <c r="N214" s="1153" t="str">
        <f>IF(P211&lt;=N211,"","*CHECK!*")</f>
        <v/>
      </c>
      <c r="Q214" s="24"/>
      <c r="R214" s="24"/>
      <c r="S214" s="24"/>
      <c r="T214" s="24"/>
      <c r="U214" s="24"/>
      <c r="V214" s="24"/>
      <c r="W214" s="24"/>
      <c r="X214" s="24"/>
      <c r="Y214" s="24"/>
      <c r="Z214" s="24"/>
      <c r="AA214" s="1779"/>
    </row>
    <row r="215" spans="1:27" ht="13.5" customHeight="1">
      <c r="B215" s="399"/>
      <c r="C215" s="29" t="s">
        <v>4113</v>
      </c>
      <c r="E215" s="4499"/>
      <c r="F215" s="4500"/>
      <c r="G215" s="4500"/>
      <c r="H215" s="4501"/>
      <c r="I215" s="1817"/>
      <c r="J215" s="4514"/>
      <c r="K215" s="4515"/>
      <c r="L215" s="4515"/>
      <c r="M215" s="4516"/>
      <c r="N215"/>
      <c r="Q215" s="24"/>
      <c r="R215" s="24"/>
      <c r="S215" s="24"/>
      <c r="T215" s="24"/>
      <c r="U215" s="24"/>
      <c r="V215" s="24"/>
      <c r="W215" s="24"/>
      <c r="X215" s="24"/>
      <c r="Y215" s="24"/>
      <c r="Z215" s="24"/>
      <c r="AA215" s="1779"/>
    </row>
    <row r="216" spans="1:27" ht="13.5" customHeight="1">
      <c r="B216" s="44"/>
      <c r="C216" s="29" t="s">
        <v>4114</v>
      </c>
      <c r="E216" s="4496"/>
      <c r="F216" s="4497"/>
      <c r="G216" s="4497"/>
      <c r="H216" s="4498"/>
      <c r="I216" s="1818"/>
      <c r="J216" s="4505"/>
      <c r="K216" s="4506"/>
      <c r="L216" s="4506"/>
      <c r="M216" s="4507"/>
      <c r="N216" s="44"/>
      <c r="Q216" s="24"/>
      <c r="R216" s="24"/>
      <c r="S216" s="24"/>
      <c r="T216" s="24"/>
      <c r="U216" s="24"/>
      <c r="V216" s="24"/>
      <c r="W216" s="24"/>
      <c r="X216" s="24"/>
      <c r="Y216" s="24"/>
      <c r="Z216" s="24"/>
      <c r="AA216" s="1779"/>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4"/>
      <c r="T218" s="1744"/>
      <c r="U218" s="1744"/>
      <c r="V218" s="1744"/>
      <c r="W218" s="1744"/>
    </row>
    <row r="219" spans="1:27" s="36" customFormat="1" ht="10.5" customHeight="1" thickBot="1">
      <c r="A219" s="35"/>
      <c r="B219" s="924" t="s">
        <v>3158</v>
      </c>
      <c r="C219" s="35"/>
      <c r="D219" s="41"/>
      <c r="E219" s="41"/>
      <c r="F219" s="41"/>
      <c r="G219" s="41"/>
      <c r="H219" s="29"/>
      <c r="I219" s="29"/>
      <c r="J219" s="29"/>
      <c r="K219" s="29"/>
      <c r="M219" s="39"/>
      <c r="N219" s="47"/>
      <c r="O219" s="3"/>
      <c r="P219" s="24"/>
    </row>
    <row r="220" spans="1:27" s="36" customFormat="1" ht="34.9" customHeight="1" thickTop="1" thickBot="1">
      <c r="A220" s="4427"/>
      <c r="B220" s="4428"/>
      <c r="C220" s="4428"/>
      <c r="D220" s="4428"/>
      <c r="E220" s="4428"/>
      <c r="F220" s="4428"/>
      <c r="G220" s="4428"/>
      <c r="H220" s="4428"/>
      <c r="I220" s="4428"/>
      <c r="J220" s="4428"/>
      <c r="K220" s="4428"/>
      <c r="L220" s="4428"/>
      <c r="M220" s="4428"/>
      <c r="N220" s="4428"/>
      <c r="O220" s="4428"/>
      <c r="P220" s="4429"/>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6"/>
      <c r="B223" s="4377"/>
      <c r="C223" s="4377"/>
      <c r="D223" s="4377"/>
      <c r="E223" s="4377"/>
      <c r="F223" s="4377"/>
      <c r="G223" s="4377"/>
      <c r="H223" s="4377"/>
      <c r="I223" s="4377"/>
      <c r="J223" s="4377"/>
      <c r="K223" s="4377"/>
      <c r="L223" s="4377"/>
      <c r="M223" s="4377"/>
      <c r="N223" s="4377"/>
      <c r="O223" s="4377"/>
      <c r="P223" s="4378"/>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3907</v>
      </c>
      <c r="C225" s="44"/>
      <c r="G225" s="1534" t="s">
        <v>4147</v>
      </c>
      <c r="H225" s="1461" t="e">
        <f>IF(OR($M$34="9% Credit Competitive Round only", $M$34="9% Credit &amp; HOME"),"9%",IF(OR($M$34="4% Credit/TE Bond", $M$34="4% Credit/TE Bond &amp; HOME", $M$34="4% Credit/TE Bond &amp; HOME NOFA", $M$34="4% Credit &amp; NHTF", $M$34="4% Credit &amp; NHTF &amp; HOME"),"4%",""))</f>
        <v>#REF!</v>
      </c>
      <c r="J225" s="1534" t="s">
        <v>362</v>
      </c>
      <c r="K225" s="4487" t="str">
        <f>M55</f>
        <v>&lt;&lt; Select Activity Type &gt;&gt;</v>
      </c>
      <c r="L225" s="4488"/>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6" t="s">
        <v>4148</v>
      </c>
      <c r="D226" s="32"/>
      <c r="E226" s="29"/>
      <c r="F226" s="119"/>
      <c r="G226" s="878" t="s">
        <v>3068</v>
      </c>
      <c r="H226" s="1132" t="e">
        <f>IF(#REF!=0,0,#REF!/#REF!)</f>
        <v>#REF!</v>
      </c>
      <c r="J226" s="369" t="s">
        <v>3836</v>
      </c>
      <c r="K226" s="4503" t="e">
        <f>#REF!</f>
        <v>#REF!</v>
      </c>
      <c r="L226" s="4504"/>
      <c r="M226" s="31"/>
      <c r="N226" s="119"/>
      <c r="O226" s="24"/>
      <c r="P226" s="3"/>
    </row>
    <row r="227" spans="1:24" ht="12" customHeight="1">
      <c r="A227" s="674" t="s">
        <v>1836</v>
      </c>
      <c r="B227" s="67" t="s">
        <v>3834</v>
      </c>
      <c r="C227" s="44"/>
      <c r="E227" s="236" t="s">
        <v>3835</v>
      </c>
      <c r="M227" s="457">
        <v>1</v>
      </c>
      <c r="N227" s="48" t="s">
        <v>1836</v>
      </c>
      <c r="O227" s="1261"/>
      <c r="P227" s="1262"/>
      <c r="Q227" s="785" t="str">
        <f>IF(OR($O227=$M227,$O227=0,$O227=""),"","*CHECK!*")</f>
        <v/>
      </c>
      <c r="R227" s="782" t="s">
        <v>3929</v>
      </c>
    </row>
    <row r="228" spans="1:24" ht="12" customHeight="1">
      <c r="A228" s="674" t="s">
        <v>1838</v>
      </c>
      <c r="B228" s="67" t="s">
        <v>3690</v>
      </c>
      <c r="C228" s="44"/>
      <c r="E228" s="236" t="s">
        <v>3912</v>
      </c>
      <c r="M228" s="869">
        <v>1</v>
      </c>
      <c r="N228" s="48" t="s">
        <v>1838</v>
      </c>
      <c r="O228" s="406"/>
      <c r="P228" s="414"/>
      <c r="Q228" s="785" t="str">
        <f>IF(OR($O228=$M228,$O228=0,$O228=""),"","*CHECK!*")</f>
        <v/>
      </c>
      <c r="R228" s="782" t="s">
        <v>3929</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6"/>
      <c r="B231" s="4377"/>
      <c r="C231" s="4377"/>
      <c r="D231" s="4377"/>
      <c r="E231" s="4377"/>
      <c r="F231" s="4377"/>
      <c r="G231" s="4377"/>
      <c r="H231" s="4377"/>
      <c r="I231" s="4377"/>
      <c r="J231" s="4377"/>
      <c r="K231" s="4377"/>
      <c r="L231" s="4377"/>
      <c r="M231" s="4377"/>
      <c r="N231" s="4377"/>
      <c r="O231" s="4377"/>
      <c r="P231" s="4378"/>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3255</v>
      </c>
      <c r="D233" s="38"/>
      <c r="E233" s="38"/>
      <c r="G233" s="1536"/>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1"/>
      <c r="S233" s="1541"/>
      <c r="T233" s="1541"/>
      <c r="U233" s="1541"/>
      <c r="V233" s="1541"/>
    </row>
    <row r="234" spans="1:24" s="70" customFormat="1" ht="3" customHeight="1">
      <c r="A234" s="120"/>
      <c r="B234" s="83"/>
      <c r="D234" s="38"/>
      <c r="E234" s="38"/>
      <c r="G234" s="147"/>
      <c r="M234" s="455"/>
      <c r="Q234" s="86"/>
      <c r="R234" s="1541"/>
      <c r="S234" s="1541"/>
      <c r="T234" s="1541"/>
      <c r="U234" s="1541"/>
      <c r="V234" s="1541"/>
      <c r="W234" s="36"/>
      <c r="X234" s="36"/>
    </row>
    <row r="235" spans="1:24" ht="11.25" customHeight="1">
      <c r="A235" s="674" t="s">
        <v>1836</v>
      </c>
      <c r="B235" s="872" t="s">
        <v>3180</v>
      </c>
      <c r="D235" s="371"/>
      <c r="E235" s="371"/>
      <c r="F235" s="371"/>
      <c r="G235" s="371"/>
      <c r="H235" s="371"/>
      <c r="L235" s="371"/>
      <c r="M235" s="4494" t="str">
        <f>IF(AND(O235="Yes",O236="Yes"),"Only one category can be selected!","")</f>
        <v/>
      </c>
      <c r="N235" s="48" t="s">
        <v>1836</v>
      </c>
      <c r="O235" s="175"/>
      <c r="P235" s="418"/>
      <c r="Q235" s="795"/>
      <c r="R235" s="1541"/>
      <c r="S235" s="1541"/>
      <c r="T235" s="1541"/>
      <c r="U235" s="1541"/>
      <c r="V235" s="1541"/>
    </row>
    <row r="236" spans="1:24" ht="11.25" customHeight="1">
      <c r="A236" s="674" t="s">
        <v>1838</v>
      </c>
      <c r="B236" s="872" t="s">
        <v>3181</v>
      </c>
      <c r="D236" s="371"/>
      <c r="L236" s="371"/>
      <c r="M236" s="4494"/>
      <c r="N236" s="48" t="s">
        <v>1838</v>
      </c>
      <c r="O236" s="176"/>
      <c r="P236" s="420"/>
      <c r="Q236" s="795"/>
      <c r="R236" s="1541"/>
      <c r="S236" s="1541"/>
      <c r="T236" s="1541"/>
      <c r="U236" s="1541"/>
      <c r="V236" s="1541"/>
    </row>
    <row r="237" spans="1:24" s="36" customFormat="1" ht="10.5" customHeight="1" thickBot="1">
      <c r="A237" s="35"/>
      <c r="B237" s="924" t="s">
        <v>3158</v>
      </c>
      <c r="C237" s="35"/>
      <c r="D237" s="41"/>
      <c r="E237" s="41"/>
      <c r="F237" s="41"/>
      <c r="G237" s="41"/>
      <c r="H237" s="29"/>
      <c r="I237" s="29"/>
      <c r="J237" s="29"/>
      <c r="K237" s="29"/>
      <c r="M237" s="39"/>
      <c r="N237" s="47"/>
      <c r="O237" s="3"/>
      <c r="P237" s="24"/>
      <c r="R237" s="1541"/>
      <c r="S237" s="1541"/>
      <c r="T237" s="1541"/>
      <c r="U237" s="1541"/>
      <c r="V237" s="1541"/>
    </row>
    <row r="238" spans="1:24" s="36" customFormat="1" ht="34.9" customHeight="1" thickTop="1" thickBot="1">
      <c r="A238" s="4427"/>
      <c r="B238" s="4428"/>
      <c r="C238" s="4428"/>
      <c r="D238" s="4428"/>
      <c r="E238" s="4428"/>
      <c r="F238" s="4428"/>
      <c r="G238" s="4428"/>
      <c r="H238" s="4428"/>
      <c r="I238" s="4428"/>
      <c r="J238" s="4428"/>
      <c r="K238" s="4428"/>
      <c r="L238" s="4428"/>
      <c r="M238" s="4428"/>
      <c r="N238" s="4428"/>
      <c r="O238" s="4428"/>
      <c r="P238" s="4429"/>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6"/>
      <c r="B240" s="4377"/>
      <c r="C240" s="4377"/>
      <c r="D240" s="4377"/>
      <c r="E240" s="4377"/>
      <c r="F240" s="4377"/>
      <c r="G240" s="4377"/>
      <c r="H240" s="4377"/>
      <c r="I240" s="4377"/>
      <c r="J240" s="4377"/>
      <c r="K240" s="4377"/>
      <c r="L240" s="4377"/>
      <c r="M240" s="4377"/>
      <c r="N240" s="4377"/>
      <c r="O240" s="4377"/>
      <c r="P240" s="4378"/>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3909</v>
      </c>
      <c r="D242" s="34"/>
      <c r="E242" s="1853" t="str">
        <f>IF(AND(O242&gt;0,NOT($M$55="New Supply")), "Ineligible to score in this section, not New Supply!","")</f>
        <v/>
      </c>
      <c r="F242" s="34"/>
      <c r="G242" s="34"/>
      <c r="H242" s="34"/>
      <c r="I242" s="34"/>
      <c r="J242" s="34"/>
      <c r="K242" s="34"/>
      <c r="L242" s="1810" t="str">
        <f>IF(AND(O242&gt;0, NOT(O243="Yes")), "These points are only available to Phased Developments!", "")</f>
        <v/>
      </c>
      <c r="M242" s="119">
        <v>3</v>
      </c>
      <c r="N242" s="5"/>
      <c r="O242" s="1574"/>
      <c r="P242" s="870"/>
      <c r="Q242" s="86" t="s">
        <v>415</v>
      </c>
      <c r="R242" s="782" t="s">
        <v>3929</v>
      </c>
      <c r="S242" s="826"/>
      <c r="T242" s="826"/>
      <c r="U242" s="826"/>
      <c r="V242" s="826"/>
      <c r="W242" s="847"/>
      <c r="X242" s="847"/>
    </row>
    <row r="243" spans="1:27" s="79" customFormat="1" ht="11.25">
      <c r="A243" s="349"/>
      <c r="B243" s="108" t="s">
        <v>4155</v>
      </c>
      <c r="C243" s="108"/>
      <c r="D243" s="108"/>
      <c r="E243" s="108"/>
      <c r="F243" s="108"/>
      <c r="G243" s="108"/>
      <c r="H243" s="108"/>
      <c r="I243" s="108"/>
      <c r="J243" s="108"/>
      <c r="K243" s="108"/>
      <c r="L243" s="108"/>
      <c r="M243" s="108"/>
      <c r="N243" s="128"/>
      <c r="O243" s="892"/>
      <c r="P243" s="893"/>
      <c r="Q243" s="1553"/>
      <c r="R243" s="456"/>
      <c r="S243" s="456"/>
      <c r="T243" s="456"/>
      <c r="U243" s="456"/>
      <c r="V243" s="456"/>
      <c r="W243" s="456"/>
      <c r="X243" s="456"/>
      <c r="Y243" s="456"/>
      <c r="Z243" s="456"/>
      <c r="AA243" s="456"/>
    </row>
    <row r="244" spans="1:27" s="32" customFormat="1" ht="11.25" customHeight="1">
      <c r="A244" s="306"/>
      <c r="B244" s="349" t="s">
        <v>1839</v>
      </c>
      <c r="C244" s="29" t="s">
        <v>4156</v>
      </c>
      <c r="E244" s="33" t="s">
        <v>3226</v>
      </c>
      <c r="G244" s="1554"/>
      <c r="H244" s="48" t="s">
        <v>573</v>
      </c>
      <c r="I244" s="4621"/>
      <c r="J244" s="4621"/>
      <c r="L244" s="1573" t="s">
        <v>4158</v>
      </c>
      <c r="M244" s="4622"/>
      <c r="N244" s="4622"/>
    </row>
    <row r="245" spans="1:27" s="32" customFormat="1" ht="11.25" customHeight="1">
      <c r="A245" s="306"/>
      <c r="B245" s="349" t="s">
        <v>1841</v>
      </c>
      <c r="C245" s="29" t="s">
        <v>4157</v>
      </c>
      <c r="E245" s="33" t="s">
        <v>3226</v>
      </c>
      <c r="G245" s="1555"/>
      <c r="H245" s="48" t="s">
        <v>573</v>
      </c>
      <c r="I245" s="4495"/>
      <c r="J245" s="4495"/>
      <c r="L245" s="1573" t="s">
        <v>4158</v>
      </c>
      <c r="M245" s="4502"/>
      <c r="N245" s="450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3158</v>
      </c>
      <c r="C247" s="35"/>
      <c r="D247" s="41"/>
      <c r="E247" s="41"/>
      <c r="F247" s="41"/>
      <c r="G247" s="41"/>
      <c r="H247" s="29"/>
      <c r="I247" s="29"/>
      <c r="J247" s="29"/>
      <c r="K247" s="29"/>
      <c r="M247" s="39"/>
      <c r="N247" s="47"/>
      <c r="O247" s="3"/>
      <c r="P247" s="24"/>
    </row>
    <row r="248" spans="1:27" s="36" customFormat="1" ht="21.75" customHeight="1" thickTop="1" thickBot="1">
      <c r="A248" s="4427"/>
      <c r="B248" s="4428"/>
      <c r="C248" s="4428"/>
      <c r="D248" s="4428"/>
      <c r="E248" s="4428"/>
      <c r="F248" s="4428"/>
      <c r="G248" s="4428"/>
      <c r="H248" s="4428"/>
      <c r="I248" s="4428"/>
      <c r="J248" s="4428"/>
      <c r="K248" s="4428"/>
      <c r="L248" s="4428"/>
      <c r="M248" s="4428"/>
      <c r="N248" s="4428"/>
      <c r="O248" s="4428"/>
      <c r="P248" s="4429"/>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7"/>
      <c r="B250" s="4278"/>
      <c r="C250" s="4278"/>
      <c r="D250" s="4278"/>
      <c r="E250" s="4278"/>
      <c r="F250" s="4278"/>
      <c r="G250" s="4278"/>
      <c r="H250" s="4278"/>
      <c r="I250" s="4278"/>
      <c r="J250" s="4278"/>
      <c r="K250" s="4278"/>
      <c r="L250" s="4278"/>
      <c r="M250" s="4278"/>
      <c r="N250" s="4278"/>
      <c r="O250" s="4278"/>
      <c r="P250" s="4279"/>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3837</v>
      </c>
      <c r="D252" s="34"/>
      <c r="E252" s="44" t="s">
        <v>4164</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3929</v>
      </c>
      <c r="S252" s="1556"/>
      <c r="T252" s="1556"/>
      <c r="U252" s="1556"/>
      <c r="V252" s="1556"/>
      <c r="W252" s="847"/>
      <c r="X252" s="847"/>
    </row>
    <row r="253" spans="1:27" s="26" customFormat="1" ht="11.25" customHeight="1">
      <c r="A253" s="107" t="s">
        <v>1836</v>
      </c>
      <c r="B253" s="141" t="s">
        <v>4163</v>
      </c>
      <c r="M253" s="457">
        <v>5</v>
      </c>
      <c r="N253" s="48" t="s">
        <v>1836</v>
      </c>
      <c r="O253" s="1557"/>
      <c r="P253" s="888"/>
      <c r="Q253" s="785" t="str">
        <f>IF(OR($O253=$M253,$O253=$M253-1,$O253=0,$O253=""),"","*CHECK!*")</f>
        <v/>
      </c>
      <c r="R253" s="782" t="s">
        <v>3929</v>
      </c>
      <c r="S253" s="1556"/>
      <c r="T253" s="1556"/>
      <c r="U253" s="1556"/>
      <c r="V253" s="1556"/>
    </row>
    <row r="254" spans="1:27" s="26" customFormat="1" ht="11.25" customHeight="1">
      <c r="A254" s="107" t="s">
        <v>1838</v>
      </c>
      <c r="B254" s="141" t="s">
        <v>4165</v>
      </c>
      <c r="M254" s="457">
        <v>3</v>
      </c>
      <c r="N254" s="48" t="s">
        <v>1838</v>
      </c>
      <c r="O254" s="405"/>
      <c r="P254" s="413"/>
      <c r="Q254" s="785" t="str">
        <f>IF(OR($O254=$M254,$O254=$M254-1,$O254=0,$O254=""),"","*CHECK!*")</f>
        <v/>
      </c>
      <c r="R254" s="782" t="s">
        <v>3929</v>
      </c>
    </row>
    <row r="255" spans="1:27">
      <c r="A255" s="107" t="s">
        <v>697</v>
      </c>
      <c r="B255" s="141" t="s">
        <v>4166</v>
      </c>
      <c r="E255" s="33" t="s">
        <v>4128</v>
      </c>
      <c r="I255" s="1259"/>
      <c r="L255" s="1515"/>
      <c r="M255" s="457">
        <v>3</v>
      </c>
      <c r="N255" s="48" t="s">
        <v>697</v>
      </c>
      <c r="O255" s="406"/>
      <c r="P255" s="414"/>
      <c r="Q255" s="785" t="str">
        <f>IF(OR($O255=$M255,$O255=$M255-1,$O255=0,$O255=""),"","*CHECK!*")</f>
        <v/>
      </c>
      <c r="R255" s="782" t="s">
        <v>3929</v>
      </c>
    </row>
    <row r="256" spans="1:27" s="36" customFormat="1" ht="10.5" customHeight="1" thickBot="1">
      <c r="A256" s="35"/>
      <c r="B256" s="924" t="s">
        <v>3158</v>
      </c>
      <c r="C256" s="35"/>
      <c r="D256" s="41"/>
      <c r="E256" s="41"/>
      <c r="F256" s="41"/>
      <c r="G256" s="41"/>
      <c r="H256" s="29"/>
      <c r="I256" s="29"/>
      <c r="J256" s="29"/>
      <c r="K256" s="29"/>
      <c r="M256" s="39"/>
      <c r="N256" s="47"/>
      <c r="O256" s="3"/>
      <c r="P256" s="24"/>
    </row>
    <row r="257" spans="1:21" s="36" customFormat="1" ht="21.75" customHeight="1" thickTop="1" thickBot="1">
      <c r="A257" s="4427"/>
      <c r="B257" s="4428"/>
      <c r="C257" s="4428"/>
      <c r="D257" s="4428"/>
      <c r="E257" s="4428"/>
      <c r="F257" s="4428"/>
      <c r="G257" s="4428"/>
      <c r="H257" s="4428"/>
      <c r="I257" s="4428"/>
      <c r="J257" s="4428"/>
      <c r="K257" s="4428"/>
      <c r="L257" s="4428"/>
      <c r="M257" s="4428"/>
      <c r="N257" s="4428"/>
      <c r="O257" s="4428"/>
      <c r="P257" s="4429"/>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7"/>
      <c r="B259" s="4278"/>
      <c r="C259" s="4278"/>
      <c r="D259" s="4278"/>
      <c r="E259" s="4278"/>
      <c r="F259" s="4278"/>
      <c r="G259" s="4278"/>
      <c r="H259" s="4278"/>
      <c r="I259" s="4278"/>
      <c r="J259" s="4278"/>
      <c r="K259" s="4278"/>
      <c r="L259" s="4278"/>
      <c r="M259" s="4278"/>
      <c r="N259" s="4278"/>
      <c r="O259" s="4278"/>
      <c r="P259" s="4279"/>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3930</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4509</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4510</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4511</v>
      </c>
      <c r="D265" s="46"/>
      <c r="E265" s="46"/>
      <c r="F265" s="37"/>
      <c r="G265"/>
      <c r="K265" s="48"/>
      <c r="M265" s="457">
        <v>1</v>
      </c>
      <c r="N265" s="150" t="s">
        <v>2326</v>
      </c>
      <c r="O265" s="176"/>
      <c r="P265" s="420"/>
      <c r="R265" s="236"/>
      <c r="T265" s="832"/>
      <c r="U265" s="832"/>
    </row>
    <row r="266" spans="1:21" s="36" customFormat="1" ht="11.25" customHeight="1">
      <c r="A266" s="107" t="s">
        <v>1838</v>
      </c>
      <c r="B266" s="141" t="s">
        <v>3829</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6" t="s">
        <v>4512</v>
      </c>
      <c r="C267" s="4266"/>
      <c r="D267" s="4266"/>
      <c r="E267" s="4266"/>
      <c r="F267" s="4266"/>
      <c r="G267" s="4266"/>
      <c r="H267" s="4266"/>
      <c r="I267" s="4266"/>
      <c r="J267" s="4266"/>
      <c r="K267" s="4266"/>
      <c r="L267" s="4266"/>
      <c r="M267" s="5"/>
      <c r="N267" s="48"/>
      <c r="O267" s="925"/>
      <c r="P267" s="926"/>
      <c r="Q267" s="236"/>
      <c r="R267" s="307"/>
      <c r="T267" s="832"/>
      <c r="U267" s="832"/>
    </row>
    <row r="268" spans="1:21" s="36" customFormat="1" ht="11.25" customHeight="1">
      <c r="A268" s="107" t="s">
        <v>697</v>
      </c>
      <c r="B268" s="141" t="s">
        <v>3702</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9" t="s">
        <v>4513</v>
      </c>
      <c r="C269" s="4109"/>
      <c r="D269" s="4109"/>
      <c r="E269" s="4109"/>
      <c r="F269" s="4109"/>
      <c r="G269" s="4109"/>
      <c r="H269" s="4109"/>
      <c r="I269" s="4109"/>
      <c r="J269" s="4109"/>
      <c r="K269" s="4109"/>
      <c r="L269" s="4109"/>
      <c r="M269" s="5"/>
      <c r="N269" s="48"/>
      <c r="O269" s="883"/>
      <c r="P269" s="882"/>
      <c r="Q269" s="236"/>
      <c r="R269" s="307"/>
      <c r="T269" s="832"/>
      <c r="U269" s="832"/>
    </row>
    <row r="270" spans="1:21" s="36" customFormat="1" ht="22.5" customHeight="1">
      <c r="B270" s="4109" t="s">
        <v>4129</v>
      </c>
      <c r="C270" s="4109"/>
      <c r="D270" s="4109"/>
      <c r="E270" s="4109"/>
      <c r="F270" s="4109"/>
      <c r="G270" s="4109"/>
      <c r="H270" s="4109"/>
      <c r="I270" s="4109"/>
      <c r="J270" s="4109"/>
      <c r="K270" s="4109"/>
      <c r="L270" s="4109"/>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7"/>
      <c r="B272" s="4278"/>
      <c r="C272" s="4278"/>
      <c r="D272" s="4278"/>
      <c r="E272" s="4278"/>
      <c r="F272" s="4278"/>
      <c r="G272" s="4278"/>
      <c r="H272" s="4278"/>
      <c r="I272" s="4278"/>
      <c r="J272" s="4278"/>
      <c r="K272" s="4278"/>
      <c r="L272" s="4278"/>
      <c r="M272" s="4278"/>
      <c r="N272" s="4278"/>
      <c r="O272" s="4278"/>
      <c r="P272" s="4279"/>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3283</v>
      </c>
      <c r="B274" s="83" t="s">
        <v>4469</v>
      </c>
      <c r="D274" s="38"/>
      <c r="E274" s="38"/>
      <c r="G274" s="1536"/>
      <c r="H274" s="147"/>
      <c r="I274" s="1534" t="s">
        <v>4042</v>
      </c>
      <c r="J274" s="1839"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1"/>
      <c r="S274" s="1541"/>
      <c r="T274" s="1541"/>
      <c r="U274" s="1541"/>
      <c r="V274" s="1541"/>
    </row>
    <row r="275" spans="1:24" s="70" customFormat="1" ht="3" customHeight="1">
      <c r="A275" s="120"/>
      <c r="B275" s="83"/>
      <c r="D275" s="38"/>
      <c r="E275" s="38"/>
      <c r="G275" s="147"/>
      <c r="M275" s="455"/>
      <c r="Q275" s="86"/>
      <c r="R275" s="1541"/>
      <c r="S275" s="1541"/>
      <c r="T275" s="1541"/>
      <c r="U275" s="1541"/>
      <c r="V275" s="1541"/>
      <c r="W275" s="36"/>
      <c r="X275" s="36"/>
    </row>
    <row r="276" spans="1:24" ht="11.25" customHeight="1">
      <c r="A276" s="674" t="s">
        <v>1836</v>
      </c>
      <c r="B276" s="872" t="s">
        <v>4470</v>
      </c>
      <c r="D276" s="371"/>
      <c r="E276" s="371"/>
      <c r="F276" s="371"/>
      <c r="G276" s="371"/>
      <c r="H276" s="371"/>
      <c r="L276" s="371"/>
      <c r="M276" s="869">
        <v>1</v>
      </c>
      <c r="N276" s="48" t="s">
        <v>1836</v>
      </c>
      <c r="O276" s="175"/>
      <c r="P276" s="418"/>
      <c r="Q276" s="795">
        <f>IF(L276="Yes",1,0)</f>
        <v>0</v>
      </c>
      <c r="R276" s="1541"/>
      <c r="S276" s="1541"/>
      <c r="T276" s="1541"/>
      <c r="U276" s="1541"/>
      <c r="V276" s="1541"/>
    </row>
    <row r="277" spans="1:24" ht="11.25" customHeight="1">
      <c r="A277" s="674" t="s">
        <v>1838</v>
      </c>
      <c r="B277" s="872" t="s">
        <v>4471</v>
      </c>
      <c r="D277" s="371"/>
      <c r="L277" s="371"/>
      <c r="M277" s="869">
        <v>2</v>
      </c>
      <c r="N277" s="48" t="s">
        <v>1838</v>
      </c>
      <c r="O277" s="176"/>
      <c r="P277" s="420"/>
      <c r="Q277" s="795">
        <f>IF(L277="Yes",1,0)</f>
        <v>0</v>
      </c>
      <c r="R277" s="1541"/>
      <c r="S277" s="1541"/>
      <c r="T277" s="1541"/>
      <c r="U277" s="1541"/>
      <c r="V277" s="1541"/>
    </row>
    <row r="278" spans="1:24" ht="11.25" customHeight="1">
      <c r="B278" s="241" t="s">
        <v>4577</v>
      </c>
      <c r="D278" s="371"/>
      <c r="L278" s="371"/>
      <c r="M278" s="869"/>
      <c r="N278" s="869"/>
      <c r="O278" s="869"/>
      <c r="P278" s="869"/>
      <c r="Q278" s="795"/>
      <c r="R278" s="1541"/>
      <c r="S278" s="1541"/>
      <c r="T278" s="1541"/>
      <c r="U278" s="1541"/>
      <c r="V278" s="1541"/>
    </row>
    <row r="279" spans="1:24" ht="38.25" customHeight="1">
      <c r="B279" s="4472"/>
      <c r="C279" s="4473"/>
      <c r="D279" s="4473"/>
      <c r="E279" s="4473"/>
      <c r="F279" s="4473"/>
      <c r="G279" s="4473"/>
      <c r="H279" s="4473"/>
      <c r="I279" s="4473"/>
      <c r="J279" s="4473"/>
      <c r="K279" s="4473"/>
      <c r="L279" s="4473"/>
      <c r="M279" s="4473"/>
      <c r="N279" s="4473"/>
      <c r="O279" s="4473"/>
      <c r="P279" s="4474"/>
      <c r="Q279" s="795"/>
      <c r="R279" s="1541"/>
      <c r="S279" s="1541"/>
      <c r="T279" s="1541"/>
      <c r="U279" s="1541"/>
      <c r="V279" s="1541"/>
    </row>
    <row r="280" spans="1:24" s="36" customFormat="1" ht="10.5" customHeight="1" thickBot="1">
      <c r="A280" s="35"/>
      <c r="B280" s="924" t="s">
        <v>3158</v>
      </c>
      <c r="C280" s="35"/>
      <c r="D280" s="41"/>
      <c r="E280" s="41"/>
      <c r="F280" s="41"/>
      <c r="G280" s="41"/>
      <c r="H280" s="29"/>
      <c r="I280" s="29"/>
      <c r="J280" s="29"/>
      <c r="K280" s="29"/>
      <c r="M280" s="39"/>
      <c r="N280" s="47"/>
      <c r="O280" s="3"/>
      <c r="P280" s="24"/>
      <c r="R280" s="1541"/>
      <c r="S280" s="1541"/>
      <c r="T280" s="1541"/>
      <c r="U280" s="1541"/>
      <c r="V280" s="1541"/>
    </row>
    <row r="281" spans="1:24" s="36" customFormat="1" ht="34.9" customHeight="1" thickTop="1" thickBot="1">
      <c r="A281" s="4427"/>
      <c r="B281" s="4428"/>
      <c r="C281" s="4428"/>
      <c r="D281" s="4428"/>
      <c r="E281" s="4428"/>
      <c r="F281" s="4428"/>
      <c r="G281" s="4428"/>
      <c r="H281" s="4428"/>
      <c r="I281" s="4428"/>
      <c r="J281" s="4428"/>
      <c r="K281" s="4428"/>
      <c r="L281" s="4428"/>
      <c r="M281" s="4428"/>
      <c r="N281" s="4428"/>
      <c r="O281" s="4428"/>
      <c r="P281" s="4429"/>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6"/>
      <c r="B283" s="4377"/>
      <c r="C283" s="4377"/>
      <c r="D283" s="4377"/>
      <c r="E283" s="4377"/>
      <c r="F283" s="4377"/>
      <c r="G283" s="4377"/>
      <c r="H283" s="4377"/>
      <c r="I283" s="4377"/>
      <c r="J283" s="4377"/>
      <c r="K283" s="4377"/>
      <c r="L283" s="4377"/>
      <c r="M283" s="4377"/>
      <c r="N283" s="4377"/>
      <c r="O283" s="4377"/>
      <c r="P283" s="4378"/>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3284</v>
      </c>
      <c r="B285" s="83" t="s">
        <v>4474</v>
      </c>
      <c r="D285" s="38"/>
      <c r="E285" s="38"/>
      <c r="G285" s="1536"/>
      <c r="H285" s="147"/>
      <c r="I285" s="147" t="s">
        <v>4596</v>
      </c>
      <c r="J285" s="147"/>
      <c r="K285" s="147"/>
      <c r="L285" s="1834" t="str">
        <f>IF(AND(O295&gt;0,O298&gt;0), "Choose only one option!","")</f>
        <v/>
      </c>
      <c r="M285" s="119">
        <v>2</v>
      </c>
      <c r="N285" s="5"/>
      <c r="O285" s="855">
        <f>IF(O295=$M$295,$M$295,IF(O298=$M$298,$M$298,0))</f>
        <v>0</v>
      </c>
      <c r="P285" s="855">
        <f>IF(P295=$M$295,$M$295,IF(P298=$M$298,$M$298,0))</f>
        <v>0</v>
      </c>
      <c r="Q285" s="86" t="s">
        <v>415</v>
      </c>
      <c r="R285" s="1541"/>
      <c r="S285" s="1541"/>
      <c r="T285" s="1541"/>
      <c r="U285" s="1541"/>
      <c r="V285" s="1541"/>
    </row>
    <row r="286" spans="1:24" s="70" customFormat="1" ht="11.25" customHeight="1">
      <c r="A286" s="120"/>
      <c r="B286" s="29" t="s">
        <v>4590</v>
      </c>
      <c r="D286" s="38"/>
      <c r="E286" s="38"/>
      <c r="G286" s="147"/>
      <c r="J286" s="1253"/>
      <c r="M286" s="455"/>
      <c r="Q286" s="86"/>
      <c r="R286" s="1541"/>
      <c r="S286" s="1541"/>
      <c r="T286" s="1541"/>
      <c r="U286" s="1541"/>
      <c r="V286" s="1541"/>
      <c r="W286" s="36"/>
      <c r="X286" s="36"/>
    </row>
    <row r="287" spans="1:24" s="70" customFormat="1" ht="11.25" customHeight="1">
      <c r="A287" s="120"/>
      <c r="C287" s="29" t="s">
        <v>4587</v>
      </c>
      <c r="G287" s="147"/>
      <c r="I287" s="4457"/>
      <c r="J287" s="4458"/>
      <c r="K287" s="4459"/>
      <c r="L287" s="4460"/>
      <c r="M287" s="455"/>
      <c r="O287" s="1828"/>
      <c r="P287" s="1829"/>
      <c r="Q287" s="86"/>
      <c r="R287" s="1541"/>
      <c r="S287" s="1541"/>
      <c r="T287" s="1541"/>
      <c r="U287" s="1541"/>
      <c r="V287" s="1541"/>
      <c r="W287" s="36"/>
      <c r="X287" s="36"/>
    </row>
    <row r="288" spans="1:24" s="70" customFormat="1" ht="11.25" customHeight="1">
      <c r="A288" s="120"/>
      <c r="C288" s="29" t="s">
        <v>4586</v>
      </c>
      <c r="G288" s="147"/>
      <c r="I288" s="4461"/>
      <c r="J288" s="4462"/>
      <c r="M288" s="455"/>
      <c r="O288" s="1828"/>
      <c r="P288" s="1829"/>
      <c r="Q288" s="86"/>
      <c r="R288" s="1541"/>
      <c r="S288" s="1541"/>
      <c r="T288" s="1541"/>
      <c r="U288" s="1541"/>
      <c r="V288" s="1541"/>
      <c r="W288" s="36"/>
      <c r="X288" s="36"/>
    </row>
    <row r="289" spans="1:24" s="70" customFormat="1" ht="11.25" customHeight="1">
      <c r="A289" s="120"/>
      <c r="C289" s="29" t="s">
        <v>4588</v>
      </c>
      <c r="G289" s="147"/>
      <c r="I289" s="4463" t="s">
        <v>4589</v>
      </c>
      <c r="J289" s="4464"/>
      <c r="K289" s="4465"/>
      <c r="L289" s="4466"/>
      <c r="M289" s="455"/>
      <c r="O289" s="4467" t="s">
        <v>3065</v>
      </c>
      <c r="P289" s="4467" t="s">
        <v>3066</v>
      </c>
      <c r="Q289" s="86"/>
      <c r="R289" s="1541"/>
      <c r="S289" s="1541"/>
      <c r="T289" s="1541"/>
      <c r="U289" s="1541"/>
      <c r="V289" s="1541"/>
      <c r="W289" s="36"/>
      <c r="X289" s="36"/>
    </row>
    <row r="290" spans="1:24" s="36" customFormat="1" ht="11.25" customHeight="1">
      <c r="A290" s="120"/>
      <c r="B290" s="29" t="s">
        <v>4478</v>
      </c>
      <c r="D290" s="34"/>
      <c r="H290" s="141"/>
      <c r="M290" s="119"/>
      <c r="N290" s="48"/>
      <c r="O290" s="4468"/>
      <c r="P290" s="4468"/>
      <c r="Q290" s="86"/>
      <c r="R290" s="866"/>
      <c r="S290" s="866"/>
      <c r="T290" s="866"/>
      <c r="U290" s="866"/>
    </row>
    <row r="291" spans="1:24" s="36" customFormat="1" ht="11.25" customHeight="1">
      <c r="A291" s="1827"/>
      <c r="B291" s="128" t="s">
        <v>2234</v>
      </c>
      <c r="C291" s="29" t="s">
        <v>4477</v>
      </c>
      <c r="D291" s="867"/>
      <c r="E291" s="70"/>
      <c r="F291" s="70"/>
      <c r="G291" s="70"/>
      <c r="H291" s="38"/>
      <c r="N291" s="128" t="s">
        <v>2234</v>
      </c>
      <c r="O291" s="175"/>
      <c r="P291" s="418"/>
      <c r="Q291" s="86"/>
      <c r="R291" s="866"/>
      <c r="S291" s="866"/>
      <c r="T291" s="866"/>
      <c r="U291" s="866"/>
    </row>
    <row r="292" spans="1:24" s="36" customFormat="1" ht="11.25" customHeight="1">
      <c r="A292" s="1827"/>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7"/>
      <c r="B293" s="49" t="s">
        <v>2236</v>
      </c>
      <c r="C293" s="29" t="s">
        <v>4479</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4475</v>
      </c>
      <c r="D295" s="371"/>
      <c r="E295" s="371"/>
      <c r="G295" s="371" t="s">
        <v>4483</v>
      </c>
      <c r="H295" s="371"/>
      <c r="L295" s="371"/>
      <c r="M295" s="869">
        <v>2</v>
      </c>
      <c r="N295" s="48" t="s">
        <v>1836</v>
      </c>
      <c r="O295" s="886"/>
      <c r="P295" s="870"/>
      <c r="Q295" s="1750" t="str">
        <f>IF(OR(O295=0,O295="",O295=$M295),"","Check!")</f>
        <v/>
      </c>
      <c r="R295" s="854" t="s">
        <v>2452</v>
      </c>
      <c r="S295" s="1541"/>
      <c r="T295" s="1541"/>
      <c r="U295" s="1541"/>
      <c r="V295" s="1541"/>
    </row>
    <row r="296" spans="1:24" s="331" customFormat="1" ht="21.75" customHeight="1">
      <c r="A296" s="1519"/>
      <c r="B296" s="349" t="s">
        <v>1839</v>
      </c>
      <c r="C296" s="4109" t="s">
        <v>4484</v>
      </c>
      <c r="D296" s="4109"/>
      <c r="E296" s="4109"/>
      <c r="F296" s="4109"/>
      <c r="G296" s="4109"/>
      <c r="H296" s="4109"/>
      <c r="I296" s="4109"/>
      <c r="J296" s="4109"/>
      <c r="K296" s="4109"/>
      <c r="L296" s="4109"/>
      <c r="M296" s="4109"/>
      <c r="N296" s="150" t="s">
        <v>1839</v>
      </c>
      <c r="O296" s="1224"/>
      <c r="P296" s="1225"/>
      <c r="Q296" s="330"/>
      <c r="R296" s="1749"/>
      <c r="S296" s="1749"/>
      <c r="T296" s="1749"/>
      <c r="U296" s="1749"/>
    </row>
    <row r="297" spans="1:24" s="331" customFormat="1" ht="21.75" customHeight="1" thickBot="1">
      <c r="A297" s="1519"/>
      <c r="B297" s="349" t="s">
        <v>1841</v>
      </c>
      <c r="C297" s="4109" t="s">
        <v>4485</v>
      </c>
      <c r="D297" s="4109"/>
      <c r="E297" s="4109"/>
      <c r="F297" s="4109"/>
      <c r="G297" s="4109"/>
      <c r="H297" s="4109"/>
      <c r="I297" s="4109"/>
      <c r="J297" s="4109"/>
      <c r="K297" s="4109"/>
      <c r="L297" s="4109"/>
      <c r="M297" s="4109"/>
      <c r="N297" s="150" t="s">
        <v>1841</v>
      </c>
      <c r="O297" s="883"/>
      <c r="P297" s="882"/>
      <c r="Q297" s="330"/>
      <c r="R297" s="1749"/>
      <c r="S297" s="1749"/>
      <c r="T297" s="1749"/>
      <c r="U297" s="1749"/>
    </row>
    <row r="298" spans="1:24" ht="11.25" customHeight="1" thickBot="1">
      <c r="A298" s="674" t="s">
        <v>1838</v>
      </c>
      <c r="B298" s="872" t="s">
        <v>4476</v>
      </c>
      <c r="D298" s="371"/>
      <c r="G298" s="44" t="s">
        <v>4486</v>
      </c>
      <c r="L298" s="371"/>
      <c r="M298" s="869">
        <v>2</v>
      </c>
      <c r="N298" s="48" t="s">
        <v>1838</v>
      </c>
      <c r="O298" s="886"/>
      <c r="P298" s="870"/>
      <c r="Q298" s="1750" t="str">
        <f>IF(OR(O298=0,O298="",O298=$M298),"","Check!")</f>
        <v/>
      </c>
      <c r="R298" s="854" t="s">
        <v>2452</v>
      </c>
      <c r="S298" s="1541"/>
      <c r="T298" s="1541"/>
      <c r="U298" s="1541"/>
      <c r="V298" s="1541"/>
    </row>
    <row r="299" spans="1:24" s="331" customFormat="1" ht="10.5" customHeight="1">
      <c r="A299" s="1519"/>
      <c r="B299" s="349" t="s">
        <v>1839</v>
      </c>
      <c r="C299" s="4109" t="s">
        <v>4487</v>
      </c>
      <c r="D299" s="4109"/>
      <c r="E299" s="4109"/>
      <c r="F299" s="4109"/>
      <c r="G299" s="4109"/>
      <c r="H299" s="4109"/>
      <c r="I299" s="4109"/>
      <c r="J299" s="4109"/>
      <c r="K299" s="4109"/>
      <c r="L299" s="4109"/>
      <c r="M299" s="4109"/>
      <c r="N299" s="150" t="s">
        <v>1839</v>
      </c>
      <c r="O299" s="1224"/>
      <c r="P299" s="1225"/>
      <c r="Q299" s="330"/>
      <c r="R299" s="1749"/>
      <c r="S299" s="1749"/>
      <c r="T299" s="1749"/>
      <c r="U299" s="1749"/>
    </row>
    <row r="300" spans="1:24" s="331" customFormat="1" ht="10.5" customHeight="1">
      <c r="A300" s="1519"/>
      <c r="B300" s="349" t="s">
        <v>1841</v>
      </c>
      <c r="C300" s="4109" t="s">
        <v>4488</v>
      </c>
      <c r="D300" s="4109"/>
      <c r="E300" s="4109"/>
      <c r="F300" s="4109"/>
      <c r="G300" s="4109"/>
      <c r="H300" s="4109"/>
      <c r="I300" s="4109"/>
      <c r="J300" s="4109"/>
      <c r="K300" s="4109"/>
      <c r="L300" s="4109"/>
      <c r="M300" s="4109"/>
      <c r="N300" s="150" t="s">
        <v>1841</v>
      </c>
      <c r="O300" s="883"/>
      <c r="P300" s="882"/>
      <c r="Q300" s="330"/>
      <c r="R300" s="1749"/>
      <c r="S300" s="1749"/>
      <c r="T300" s="1749"/>
      <c r="U300" s="1749"/>
    </row>
    <row r="301" spans="1:24" s="331" customFormat="1" ht="10.5" customHeight="1">
      <c r="A301" s="1519"/>
      <c r="B301" s="349" t="s">
        <v>2326</v>
      </c>
      <c r="C301" s="673" t="s">
        <v>4591</v>
      </c>
      <c r="D301" s="874"/>
      <c r="E301" s="874"/>
      <c r="F301" s="874"/>
      <c r="G301" s="874"/>
      <c r="H301" s="874"/>
      <c r="I301" s="874"/>
      <c r="J301" s="874"/>
      <c r="K301" s="874"/>
      <c r="L301" s="874"/>
      <c r="M301" s="874"/>
      <c r="N301" s="150" t="s">
        <v>2326</v>
      </c>
      <c r="O301" s="874"/>
      <c r="P301" s="874"/>
      <c r="Q301" s="330"/>
      <c r="R301" s="1749"/>
      <c r="S301" s="1749"/>
      <c r="T301" s="1749"/>
      <c r="U301" s="1749"/>
    </row>
    <row r="302" spans="1:24" s="36" customFormat="1" ht="11.25" customHeight="1">
      <c r="A302" s="120"/>
      <c r="B302" s="128" t="s">
        <v>2234</v>
      </c>
      <c r="C302" s="29" t="s">
        <v>4489</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4490</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19"/>
      <c r="B304" s="349" t="s">
        <v>1149</v>
      </c>
      <c r="C304" s="4109" t="s">
        <v>4491</v>
      </c>
      <c r="D304" s="4109"/>
      <c r="E304" s="4109"/>
      <c r="F304" s="4109"/>
      <c r="G304" s="4109"/>
      <c r="H304" s="4109"/>
      <c r="I304" s="4109"/>
      <c r="J304" s="4109"/>
      <c r="K304" s="4109"/>
      <c r="L304" s="4109"/>
      <c r="M304" s="4109"/>
      <c r="N304" s="150" t="s">
        <v>1149</v>
      </c>
      <c r="O304" s="883"/>
      <c r="P304" s="882"/>
      <c r="Q304" s="330"/>
      <c r="R304" s="1749"/>
      <c r="S304" s="1749"/>
      <c r="T304" s="1749"/>
      <c r="U304" s="1749"/>
    </row>
    <row r="305" spans="1:22" s="36" customFormat="1" ht="10.5" customHeight="1" thickBot="1">
      <c r="A305" s="35"/>
      <c r="B305" s="924" t="s">
        <v>3158</v>
      </c>
      <c r="C305" s="35"/>
      <c r="D305" s="41"/>
      <c r="E305" s="41"/>
      <c r="F305" s="41"/>
      <c r="G305" s="41"/>
      <c r="H305" s="29"/>
      <c r="I305" s="29"/>
      <c r="J305" s="29"/>
      <c r="K305" s="29"/>
      <c r="M305" s="39"/>
      <c r="N305" s="47"/>
      <c r="O305" s="3"/>
      <c r="P305" s="24"/>
      <c r="R305" s="1541"/>
      <c r="S305" s="1541"/>
      <c r="T305" s="1541"/>
      <c r="U305" s="1541"/>
      <c r="V305" s="1541"/>
    </row>
    <row r="306" spans="1:22" s="36" customFormat="1" ht="34.9" customHeight="1" thickTop="1" thickBot="1">
      <c r="A306" s="4427"/>
      <c r="B306" s="4428"/>
      <c r="C306" s="4428"/>
      <c r="D306" s="4428"/>
      <c r="E306" s="4428"/>
      <c r="F306" s="4428"/>
      <c r="G306" s="4428"/>
      <c r="H306" s="4428"/>
      <c r="I306" s="4428"/>
      <c r="J306" s="4428"/>
      <c r="K306" s="4428"/>
      <c r="L306" s="4428"/>
      <c r="M306" s="4428"/>
      <c r="N306" s="4428"/>
      <c r="O306" s="4428"/>
      <c r="P306" s="4429"/>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6"/>
      <c r="B308" s="4377"/>
      <c r="C308" s="4377"/>
      <c r="D308" s="4377"/>
      <c r="E308" s="4377"/>
      <c r="F308" s="4377"/>
      <c r="G308" s="4377"/>
      <c r="H308" s="4377"/>
      <c r="I308" s="4377"/>
      <c r="J308" s="4377"/>
      <c r="K308" s="4377"/>
      <c r="L308" s="4377"/>
      <c r="M308" s="4377"/>
      <c r="N308" s="4377"/>
      <c r="O308" s="4377"/>
      <c r="P308" s="4378"/>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3282</v>
      </c>
      <c r="B310" s="83" t="s">
        <v>4480</v>
      </c>
      <c r="D310" s="38"/>
      <c r="E310" s="38"/>
      <c r="G310" s="1536"/>
      <c r="H310" s="147"/>
      <c r="I310" s="147"/>
      <c r="J310" s="147"/>
      <c r="K310" s="147"/>
      <c r="L310" s="147"/>
      <c r="M310" s="119">
        <v>2</v>
      </c>
      <c r="N310" s="5"/>
      <c r="O310" s="855">
        <f>IF(OR(O311=$M311,O312=$M312),$M$310,0)</f>
        <v>0</v>
      </c>
      <c r="P310" s="855">
        <f>IF(OR(P311=$M311,P312=$M312),$M$310,0)</f>
        <v>0</v>
      </c>
      <c r="Q310" s="86" t="s">
        <v>415</v>
      </c>
      <c r="R310" s="1541"/>
      <c r="S310" s="1541"/>
      <c r="T310" s="1541"/>
      <c r="U310" s="1541"/>
      <c r="V310" s="1541"/>
    </row>
    <row r="311" spans="1:22" ht="11.25" customHeight="1">
      <c r="A311" s="674" t="s">
        <v>1836</v>
      </c>
      <c r="B311" s="872" t="s">
        <v>4481</v>
      </c>
      <c r="D311" s="371"/>
      <c r="E311" s="371" t="s">
        <v>4492</v>
      </c>
      <c r="F311" s="371"/>
      <c r="G311" s="371"/>
      <c r="H311" s="371"/>
      <c r="I311" s="4618"/>
      <c r="J311" s="4619"/>
      <c r="K311" s="4619"/>
      <c r="L311" s="4620"/>
      <c r="M311" s="869">
        <v>2</v>
      </c>
      <c r="N311" s="48" t="s">
        <v>1836</v>
      </c>
      <c r="O311" s="1261"/>
      <c r="P311" s="1262"/>
      <c r="Q311" s="1750" t="str">
        <f>IF(OR(O311=0,O311="",O311=$M311),"","Check!")</f>
        <v/>
      </c>
      <c r="R311" s="854" t="s">
        <v>2452</v>
      </c>
      <c r="S311" s="1541"/>
      <c r="T311" s="1541"/>
      <c r="U311" s="1541"/>
      <c r="V311" s="1541"/>
    </row>
    <row r="312" spans="1:22" ht="11.25" customHeight="1">
      <c r="A312" s="674" t="s">
        <v>1838</v>
      </c>
      <c r="B312" s="872" t="s">
        <v>4482</v>
      </c>
      <c r="D312" s="371"/>
      <c r="L312" s="371"/>
      <c r="M312" s="869">
        <v>2</v>
      </c>
      <c r="N312" s="48" t="s">
        <v>1838</v>
      </c>
      <c r="O312" s="406"/>
      <c r="P312" s="414"/>
      <c r="Q312" s="1750" t="str">
        <f>IF(OR(O312=0,O312="",O312=$M312),"","Check!")</f>
        <v/>
      </c>
      <c r="R312" s="854" t="s">
        <v>2452</v>
      </c>
      <c r="S312" s="1541"/>
      <c r="T312" s="1541"/>
      <c r="U312" s="1541"/>
      <c r="V312" s="1541"/>
    </row>
    <row r="313" spans="1:22" s="36" customFormat="1" ht="10.5" customHeight="1" thickBot="1">
      <c r="A313" s="35"/>
      <c r="B313" s="924" t="s">
        <v>3158</v>
      </c>
      <c r="C313" s="35"/>
      <c r="D313" s="41"/>
      <c r="E313" s="41"/>
      <c r="F313" s="41"/>
      <c r="G313" s="41"/>
      <c r="H313" s="29"/>
      <c r="I313" s="29"/>
      <c r="J313" s="29"/>
      <c r="K313" s="29"/>
      <c r="M313" s="39"/>
      <c r="N313" s="47"/>
      <c r="O313" s="3"/>
      <c r="P313" s="24"/>
      <c r="R313" s="1541"/>
      <c r="S313" s="1541"/>
      <c r="T313" s="1541"/>
      <c r="U313" s="1541"/>
      <c r="V313" s="1541"/>
    </row>
    <row r="314" spans="1:22" s="36" customFormat="1" ht="34.9" customHeight="1" thickTop="1" thickBot="1">
      <c r="A314" s="4427"/>
      <c r="B314" s="4428"/>
      <c r="C314" s="4428"/>
      <c r="D314" s="4428"/>
      <c r="E314" s="4428"/>
      <c r="F314" s="4428"/>
      <c r="G314" s="4428"/>
      <c r="H314" s="4428"/>
      <c r="I314" s="4428"/>
      <c r="J314" s="4428"/>
      <c r="K314" s="4428"/>
      <c r="L314" s="4428"/>
      <c r="M314" s="4428"/>
      <c r="N314" s="4428"/>
      <c r="O314" s="4428"/>
      <c r="P314" s="4429"/>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6"/>
      <c r="B316" s="4377"/>
      <c r="C316" s="4377"/>
      <c r="D316" s="4377"/>
      <c r="E316" s="4377"/>
      <c r="F316" s="4377"/>
      <c r="G316" s="4377"/>
      <c r="H316" s="4377"/>
      <c r="I316" s="4377"/>
      <c r="J316" s="4377"/>
      <c r="K316" s="4377"/>
      <c r="L316" s="4377"/>
      <c r="M316" s="4377"/>
      <c r="N316" s="4377"/>
      <c r="O316" s="4377"/>
      <c r="P316" s="4378"/>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3285</v>
      </c>
      <c r="B318" s="83" t="s">
        <v>3256</v>
      </c>
      <c r="C318" s="67"/>
      <c r="D318" s="44"/>
      <c r="E318" s="29"/>
      <c r="G318" s="44"/>
      <c r="I318" s="1534" t="s">
        <v>4147</v>
      </c>
      <c r="J318" s="1461"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4130</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3257</v>
      </c>
      <c r="C320" s="67"/>
      <c r="D320" s="44"/>
      <c r="E320" s="29"/>
      <c r="G320" s="1382"/>
      <c r="I320" s="33" t="s">
        <v>3948</v>
      </c>
      <c r="K320" s="1516">
        <f>'Part VIII Scoring Criteria OLD'!P42</f>
        <v>0</v>
      </c>
      <c r="M320" s="457">
        <v>2</v>
      </c>
      <c r="N320" s="48" t="s">
        <v>1836</v>
      </c>
      <c r="P320" s="415"/>
      <c r="Q320" s="86"/>
      <c r="R320" s="854" t="s">
        <v>2452</v>
      </c>
    </row>
    <row r="321" spans="1:19" s="70" customFormat="1" ht="10.5" customHeight="1">
      <c r="A321" s="674"/>
      <c r="B321" s="306" t="s">
        <v>1839</v>
      </c>
      <c r="C321" s="29" t="s">
        <v>3717</v>
      </c>
      <c r="D321" s="26"/>
      <c r="N321" s="347" t="s">
        <v>3718</v>
      </c>
      <c r="O321" s="175"/>
      <c r="P321" s="418"/>
      <c r="R321" s="307"/>
    </row>
    <row r="322" spans="1:19" s="70" customFormat="1" ht="10.5" customHeight="1">
      <c r="A322" s="674"/>
      <c r="B322" s="306"/>
      <c r="C322" s="29" t="s">
        <v>4472</v>
      </c>
      <c r="D322" s="26"/>
      <c r="N322" s="347" t="s">
        <v>3719</v>
      </c>
      <c r="O322" s="299"/>
      <c r="P322" s="419"/>
      <c r="R322" s="307"/>
    </row>
    <row r="323" spans="1:19" s="70" customFormat="1" ht="10.5" customHeight="1">
      <c r="A323" s="674"/>
      <c r="B323" s="306" t="s">
        <v>1841</v>
      </c>
      <c r="C323" s="29" t="s">
        <v>3262</v>
      </c>
      <c r="D323" s="26"/>
      <c r="N323" s="347" t="s">
        <v>1841</v>
      </c>
      <c r="O323" s="299"/>
      <c r="P323" s="419"/>
      <c r="R323" s="307"/>
    </row>
    <row r="324" spans="1:19" s="70" customFormat="1" ht="10.5" customHeight="1">
      <c r="A324" s="674"/>
      <c r="B324" s="306" t="s">
        <v>2326</v>
      </c>
      <c r="C324" s="29" t="s">
        <v>3720</v>
      </c>
      <c r="D324" s="26"/>
      <c r="N324" s="347" t="s">
        <v>2326</v>
      </c>
      <c r="O324" s="299"/>
      <c r="P324" s="419"/>
      <c r="R324" s="307"/>
    </row>
    <row r="325" spans="1:19" s="70" customFormat="1" ht="10.5" customHeight="1">
      <c r="A325" s="922"/>
      <c r="B325" s="306" t="s">
        <v>1149</v>
      </c>
      <c r="C325" s="29" t="s">
        <v>3263</v>
      </c>
      <c r="D325" s="26"/>
      <c r="N325" s="347" t="s">
        <v>1149</v>
      </c>
      <c r="O325" s="176"/>
      <c r="P325" s="419"/>
      <c r="R325" s="307"/>
    </row>
    <row r="326" spans="1:19" s="36" customFormat="1" ht="12" customHeight="1">
      <c r="A326" s="674" t="s">
        <v>1838</v>
      </c>
      <c r="B326" s="141" t="s">
        <v>3258</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3717</v>
      </c>
      <c r="D327" s="29"/>
      <c r="E327" s="29"/>
      <c r="M327" s="119"/>
      <c r="N327" s="347" t="s">
        <v>3718</v>
      </c>
      <c r="O327" s="175"/>
      <c r="P327" s="418"/>
      <c r="Q327" s="86"/>
    </row>
    <row r="328" spans="1:19" s="70" customFormat="1" ht="10.5" customHeight="1">
      <c r="A328" s="107"/>
      <c r="B328" s="306"/>
      <c r="C328" s="29" t="s">
        <v>4473</v>
      </c>
      <c r="D328" s="26"/>
      <c r="N328" s="347" t="s">
        <v>3719</v>
      </c>
      <c r="O328" s="299"/>
      <c r="P328" s="419"/>
      <c r="R328" s="307"/>
    </row>
    <row r="329" spans="1:19" s="70" customFormat="1" ht="10.5" customHeight="1">
      <c r="A329" s="107"/>
      <c r="B329" s="306" t="s">
        <v>1841</v>
      </c>
      <c r="C329" s="29" t="s">
        <v>3274</v>
      </c>
      <c r="D329" s="26"/>
      <c r="N329" s="347" t="s">
        <v>1841</v>
      </c>
      <c r="O329" s="299"/>
      <c r="P329" s="419"/>
      <c r="R329" s="307"/>
    </row>
    <row r="330" spans="1:19" s="70" customFormat="1" ht="10.5" customHeight="1">
      <c r="B330" s="306" t="s">
        <v>2326</v>
      </c>
      <c r="C330" s="29" t="s">
        <v>3263</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7"/>
      <c r="B332" s="4278"/>
      <c r="C332" s="4278"/>
      <c r="D332" s="4278"/>
      <c r="E332" s="4278"/>
      <c r="F332" s="4278"/>
      <c r="G332" s="4278"/>
      <c r="H332" s="4278"/>
      <c r="I332" s="4278"/>
      <c r="J332" s="4278"/>
      <c r="K332" s="4278"/>
      <c r="L332" s="4278"/>
      <c r="M332" s="4278"/>
      <c r="N332" s="4278"/>
      <c r="O332" s="4278"/>
      <c r="P332" s="4279"/>
      <c r="Q332" s="353"/>
    </row>
    <row r="333" spans="1:19" ht="2.25" customHeight="1" thickBot="1"/>
    <row r="334" spans="1:19" s="36" customFormat="1" ht="13.5" customHeight="1" thickBot="1">
      <c r="A334" s="121" t="s">
        <v>3286</v>
      </c>
      <c r="B334" s="83" t="s">
        <v>1553</v>
      </c>
      <c r="D334" s="67"/>
      <c r="E334" s="67"/>
      <c r="G334" s="29"/>
      <c r="M334" s="119">
        <v>2</v>
      </c>
      <c r="N334" s="320"/>
      <c r="O334" s="886"/>
      <c r="P334" s="870"/>
      <c r="Q334" s="86" t="s">
        <v>415</v>
      </c>
      <c r="R334" s="1558" t="s">
        <v>3929</v>
      </c>
      <c r="S334" s="1558"/>
    </row>
    <row r="335" spans="1:19" s="36" customFormat="1" ht="11.25" customHeight="1">
      <c r="A335" s="107"/>
      <c r="B335" s="89" t="s">
        <v>3069</v>
      </c>
      <c r="D335" s="67"/>
      <c r="E335" s="67"/>
      <c r="G335" s="29"/>
      <c r="I335" s="3428" t="s">
        <v>3962</v>
      </c>
      <c r="J335" s="3429"/>
      <c r="K335" s="3429"/>
      <c r="L335" s="3430"/>
      <c r="M335" s="53"/>
      <c r="N335" s="878"/>
      <c r="O335" s="907"/>
      <c r="P335" s="907"/>
      <c r="Q335" s="785"/>
      <c r="R335" s="1558"/>
      <c r="S335" s="1558"/>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3158</v>
      </c>
      <c r="C337" s="35"/>
      <c r="D337" s="41"/>
      <c r="E337" s="41"/>
      <c r="F337" s="41"/>
      <c r="G337" s="41"/>
      <c r="H337" s="29"/>
      <c r="I337" s="29"/>
      <c r="J337" s="29"/>
      <c r="K337" s="29"/>
      <c r="M337" s="39"/>
      <c r="N337" s="5"/>
      <c r="O337" s="3"/>
      <c r="P337" s="119"/>
    </row>
    <row r="338" spans="1:20" s="36" customFormat="1" ht="10.9" customHeight="1" thickTop="1" thickBot="1">
      <c r="A338" s="4427"/>
      <c r="B338" s="4428"/>
      <c r="C338" s="4428"/>
      <c r="D338" s="4428"/>
      <c r="E338" s="4428"/>
      <c r="F338" s="4428"/>
      <c r="G338" s="4428"/>
      <c r="H338" s="4428"/>
      <c r="I338" s="4428"/>
      <c r="J338" s="4428"/>
      <c r="K338" s="4428"/>
      <c r="L338" s="4428"/>
      <c r="M338" s="4428"/>
      <c r="N338" s="4428"/>
      <c r="O338" s="4428"/>
      <c r="P338" s="4429"/>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7"/>
      <c r="B340" s="4278"/>
      <c r="C340" s="4278"/>
      <c r="D340" s="4278"/>
      <c r="E340" s="4278"/>
      <c r="F340" s="4278"/>
      <c r="G340" s="4278"/>
      <c r="H340" s="4278"/>
      <c r="I340" s="4278"/>
      <c r="J340" s="4278"/>
      <c r="K340" s="4278"/>
      <c r="L340" s="4278"/>
      <c r="M340" s="4278"/>
      <c r="N340" s="4278"/>
      <c r="O340" s="4278"/>
      <c r="P340" s="4279"/>
      <c r="Q340" s="353"/>
    </row>
    <row r="341" spans="1:20" ht="3" customHeight="1" thickBot="1"/>
    <row r="342" spans="1:20" s="36" customFormat="1" ht="13.5" customHeight="1" thickBot="1">
      <c r="A342" s="120" t="s">
        <v>3289</v>
      </c>
      <c r="B342" s="83" t="s">
        <v>3260</v>
      </c>
      <c r="D342" s="67"/>
      <c r="E342" s="67"/>
      <c r="F342" s="29"/>
      <c r="G342" s="29"/>
      <c r="H342" s="29"/>
      <c r="J342" s="1876" t="s">
        <v>4041</v>
      </c>
      <c r="K342" s="1802"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4494</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3" t="str">
        <f>IF(OR(O344="No",O344="",O345="No",O345="",O346="No",O346="",O347="No",O347=""),"Unmet criterion results in no points!","")</f>
        <v>Unmet criterion results in no points!</v>
      </c>
      <c r="M344" s="4493"/>
      <c r="N344" s="49" t="s">
        <v>2234</v>
      </c>
      <c r="O344" s="175"/>
      <c r="P344" s="418"/>
      <c r="R344" s="4489" t="str">
        <f>IF(OR(P344="No",P344="",P345="No",P345="",P346="No",P346="",P347="No",P347=""),"Unmet criterion results in no points!","")</f>
        <v>Unmet criterion results in no points!</v>
      </c>
      <c r="S344" s="4489" t="e">
        <f>IF(OR(V344="No",V344="",V345="No",V345="",V346="No",V346="",V347="No",V347="",#REF!="No",#REF!="",#REF!="No",#REF!=""),"Unmet criterion results in no points!","")</f>
        <v>#REF!</v>
      </c>
    </row>
    <row r="345" spans="1:20" s="79" customFormat="1" ht="12.75" customHeight="1">
      <c r="B345" s="49" t="s">
        <v>2235</v>
      </c>
      <c r="C345" s="29" t="s">
        <v>3192</v>
      </c>
      <c r="L345" s="4493"/>
      <c r="M345" s="4493"/>
      <c r="N345" s="49" t="s">
        <v>2235</v>
      </c>
      <c r="O345" s="299"/>
      <c r="P345" s="419"/>
      <c r="R345" s="4489"/>
      <c r="S345" s="4489"/>
    </row>
    <row r="346" spans="1:20" s="79" customFormat="1" ht="12.75" customHeight="1">
      <c r="B346" s="49" t="s">
        <v>2236</v>
      </c>
      <c r="C346" s="29" t="s">
        <v>3191</v>
      </c>
      <c r="L346" s="4493"/>
      <c r="M346" s="4493"/>
      <c r="N346" s="49" t="s">
        <v>2236</v>
      </c>
      <c r="O346" s="299"/>
      <c r="P346" s="419"/>
      <c r="R346" s="4489"/>
      <c r="S346" s="4489"/>
    </row>
    <row r="347" spans="1:20" s="79" customFormat="1" ht="33.75" customHeight="1">
      <c r="B347" s="117" t="s">
        <v>2237</v>
      </c>
      <c r="C347" s="4109" t="s">
        <v>4493</v>
      </c>
      <c r="D347" s="4109"/>
      <c r="E347" s="4109"/>
      <c r="F347" s="4109"/>
      <c r="G347" s="4109"/>
      <c r="H347" s="4109"/>
      <c r="I347" s="4109"/>
      <c r="J347" s="4109"/>
      <c r="K347" s="4109"/>
      <c r="L347" s="4109"/>
      <c r="M347" s="4109"/>
      <c r="N347" s="117" t="s">
        <v>2237</v>
      </c>
      <c r="O347" s="883"/>
      <c r="P347" s="882"/>
    </row>
    <row r="348" spans="1:20" ht="3" customHeight="1" thickBot="1">
      <c r="C348" s="4109"/>
      <c r="D348" s="4109"/>
      <c r="E348" s="4109"/>
      <c r="F348" s="4109"/>
      <c r="G348" s="4109"/>
      <c r="H348" s="4109"/>
      <c r="I348" s="4109"/>
      <c r="J348" s="4109"/>
      <c r="K348" s="4109"/>
      <c r="L348" s="4109"/>
      <c r="M348" s="4109"/>
    </row>
    <row r="349" spans="1:20" ht="12.75" customHeight="1" thickBot="1">
      <c r="A349" s="793" t="s">
        <v>1836</v>
      </c>
      <c r="B349" s="141" t="s">
        <v>3261</v>
      </c>
      <c r="L349" s="307" t="str">
        <f>IF(O349&lt;=M349,"","* * Check Score! * *")</f>
        <v/>
      </c>
      <c r="M349" s="457">
        <v>3</v>
      </c>
      <c r="N349" s="48" t="s">
        <v>1836</v>
      </c>
      <c r="O349" s="1537"/>
      <c r="P349" s="1538"/>
      <c r="Q349" s="785" t="str">
        <f>IF(O349&lt;=M349,"","*CHECK!*")</f>
        <v/>
      </c>
      <c r="R349" s="392" t="s">
        <v>3929</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8" t="s">
        <v>4608</v>
      </c>
      <c r="C351" s="108"/>
      <c r="D351" s="108"/>
      <c r="E351" s="108"/>
      <c r="F351" s="108"/>
      <c r="G351" s="108"/>
      <c r="H351" s="108"/>
      <c r="I351" s="108"/>
      <c r="J351" s="4486" t="s">
        <v>1843</v>
      </c>
      <c r="K351" s="4486"/>
      <c r="M351" s="4486" t="s">
        <v>1843</v>
      </c>
      <c r="N351" s="4486"/>
      <c r="O351" s="4486"/>
      <c r="P351" s="4486"/>
      <c r="R351" s="1745"/>
      <c r="S351" s="1745"/>
      <c r="T351" s="1362"/>
    </row>
    <row r="352" spans="1:20" s="36" customFormat="1" ht="12.75" customHeight="1">
      <c r="A352" s="151"/>
      <c r="B352" s="150" t="s">
        <v>4495</v>
      </c>
      <c r="C352" s="29" t="s">
        <v>1386</v>
      </c>
      <c r="I352" s="49" t="s">
        <v>2234</v>
      </c>
      <c r="J352" s="4577"/>
      <c r="K352" s="4578"/>
      <c r="L352" s="49" t="s">
        <v>2234</v>
      </c>
      <c r="M352" s="4443"/>
      <c r="N352" s="4444"/>
      <c r="O352" s="4444"/>
      <c r="P352" s="4445"/>
      <c r="R352" s="307"/>
    </row>
    <row r="353" spans="1:18" ht="12.75" customHeight="1">
      <c r="A353" s="152"/>
      <c r="B353" s="117" t="s">
        <v>2235</v>
      </c>
      <c r="C353" s="29" t="s">
        <v>3071</v>
      </c>
      <c r="I353" s="117" t="s">
        <v>2235</v>
      </c>
      <c r="J353" s="4438"/>
      <c r="K353" s="4439"/>
      <c r="L353" s="117" t="s">
        <v>2235</v>
      </c>
      <c r="M353" s="4440"/>
      <c r="N353" s="4441"/>
      <c r="O353" s="4441"/>
      <c r="P353" s="4442"/>
      <c r="R353" s="307"/>
    </row>
    <row r="354" spans="1:18" ht="12.75" customHeight="1">
      <c r="B354" s="49" t="s">
        <v>2236</v>
      </c>
      <c r="C354" s="29" t="s">
        <v>3830</v>
      </c>
      <c r="I354" s="49" t="s">
        <v>2236</v>
      </c>
      <c r="J354" s="4438"/>
      <c r="K354" s="4439"/>
      <c r="L354" s="49" t="s">
        <v>2236</v>
      </c>
      <c r="M354" s="4440"/>
      <c r="N354" s="4441"/>
      <c r="O354" s="4441"/>
      <c r="P354" s="4442"/>
      <c r="R354" s="307"/>
    </row>
    <row r="355" spans="1:18" ht="12.75" customHeight="1">
      <c r="A355" s="152"/>
      <c r="B355" s="49" t="s">
        <v>2237</v>
      </c>
      <c r="C355" s="29" t="s">
        <v>2987</v>
      </c>
      <c r="I355" s="49" t="s">
        <v>2237</v>
      </c>
      <c r="J355" s="4438"/>
      <c r="K355" s="4439"/>
      <c r="L355" s="49" t="s">
        <v>2237</v>
      </c>
      <c r="M355" s="4440"/>
      <c r="N355" s="4441"/>
      <c r="O355" s="4441"/>
      <c r="P355" s="4442"/>
      <c r="R355" s="307"/>
    </row>
    <row r="356" spans="1:18" s="36" customFormat="1" ht="12.75" customHeight="1">
      <c r="A356" s="151"/>
      <c r="B356" s="117" t="s">
        <v>2238</v>
      </c>
      <c r="C356" s="29" t="s">
        <v>2466</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4131</v>
      </c>
      <c r="I358" s="49" t="s">
        <v>2255</v>
      </c>
      <c r="J358" s="4438"/>
      <c r="K358" s="4439"/>
      <c r="L358" s="49" t="s">
        <v>2255</v>
      </c>
      <c r="M358" s="1512"/>
      <c r="N358" s="1513"/>
      <c r="O358" s="1513"/>
      <c r="P358" s="1514"/>
      <c r="R358" s="307"/>
    </row>
    <row r="359" spans="1:18" ht="12.75" customHeight="1">
      <c r="A359" s="152"/>
      <c r="B359" s="48" t="s">
        <v>2256</v>
      </c>
      <c r="C359" s="29" t="s">
        <v>3070</v>
      </c>
      <c r="I359" s="48" t="s">
        <v>2256</v>
      </c>
      <c r="J359" s="4438"/>
      <c r="K359" s="4439"/>
      <c r="L359" s="48" t="s">
        <v>2256</v>
      </c>
      <c r="M359" s="4440"/>
      <c r="N359" s="4441"/>
      <c r="O359" s="4441"/>
      <c r="P359" s="4442"/>
      <c r="R359" s="307"/>
    </row>
    <row r="360" spans="1:18" ht="12.75" customHeight="1">
      <c r="B360" s="48" t="s">
        <v>2257</v>
      </c>
      <c r="C360" s="29" t="s">
        <v>4496</v>
      </c>
      <c r="I360" s="48" t="s">
        <v>2257</v>
      </c>
      <c r="J360" s="4438"/>
      <c r="K360" s="4439"/>
      <c r="L360" s="48" t="s">
        <v>2257</v>
      </c>
      <c r="M360" s="4440"/>
      <c r="N360" s="4441"/>
      <c r="O360" s="4441"/>
      <c r="P360" s="4442"/>
      <c r="R360" s="307"/>
    </row>
    <row r="361" spans="1:18" ht="12.75" customHeight="1">
      <c r="B361" s="48" t="s">
        <v>3072</v>
      </c>
      <c r="C361" s="29" t="s">
        <v>3703</v>
      </c>
      <c r="I361" s="48" t="s">
        <v>3072</v>
      </c>
      <c r="J361" s="4438"/>
      <c r="K361" s="4439"/>
      <c r="L361" s="48" t="s">
        <v>3072</v>
      </c>
      <c r="M361" s="4440"/>
      <c r="N361" s="4441"/>
      <c r="O361" s="4441"/>
      <c r="P361" s="4442"/>
      <c r="R361" s="307"/>
    </row>
    <row r="362" spans="1:18" ht="12.75" customHeight="1" thickBot="1">
      <c r="B362" s="48" t="s">
        <v>4132</v>
      </c>
      <c r="C362" s="29" t="s">
        <v>4133</v>
      </c>
      <c r="I362" s="48" t="s">
        <v>4132</v>
      </c>
      <c r="J362" s="4438"/>
      <c r="K362" s="4439"/>
      <c r="L362" s="48" t="s">
        <v>4132</v>
      </c>
      <c r="M362" s="4479"/>
      <c r="N362" s="4480"/>
      <c r="O362" s="4480"/>
      <c r="P362" s="4481"/>
      <c r="R362" s="307"/>
    </row>
    <row r="363" spans="1:18" ht="12.75" customHeight="1" thickBot="1">
      <c r="B363" s="906" t="s">
        <v>4497</v>
      </c>
      <c r="H363" s="89" t="s">
        <v>2406</v>
      </c>
      <c r="J363" s="4573">
        <f>SUM(J352:K362)</f>
        <v>0</v>
      </c>
      <c r="K363" s="4574"/>
      <c r="M363" s="4573">
        <f>SUM($M352:$M362)</f>
        <v>0</v>
      </c>
      <c r="N363" s="4576"/>
      <c r="O363" s="4576"/>
      <c r="P363" s="4574"/>
      <c r="R363" s="307"/>
    </row>
    <row r="364" spans="1:18" ht="6" customHeight="1">
      <c r="M364" s="392"/>
      <c r="N364" s="392"/>
      <c r="O364" s="115"/>
      <c r="P364" s="392"/>
    </row>
    <row r="365" spans="1:18" s="36" customFormat="1" ht="12" customHeight="1">
      <c r="A365" s="35"/>
      <c r="B365" s="1134" t="s">
        <v>1841</v>
      </c>
      <c r="C365" s="399" t="s">
        <v>2405</v>
      </c>
      <c r="D365" s="230"/>
      <c r="E365" s="230"/>
      <c r="F365" s="33" t="s">
        <v>4134</v>
      </c>
      <c r="H365"/>
      <c r="I365"/>
      <c r="J365" s="4455" t="e">
        <f>#REF!</f>
        <v>#REF!</v>
      </c>
      <c r="K365" s="4456"/>
      <c r="L365" s="429"/>
      <c r="M365" s="392"/>
      <c r="N365" s="392"/>
      <c r="O365" s="868"/>
      <c r="P365" s="392"/>
    </row>
    <row r="366" spans="1:18" ht="13.5" customHeight="1">
      <c r="C366" s="230"/>
      <c r="D366" s="230"/>
      <c r="E366" s="230"/>
      <c r="F366" s="348" t="s">
        <v>4135</v>
      </c>
      <c r="J366" s="4453" t="e">
        <f>IF(J365=0,0,J363/J365)</f>
        <v>#REF!</v>
      </c>
      <c r="K366" s="4454"/>
      <c r="M366" s="4579" t="e">
        <f>IF($J365=0,0,$M363/$J365)</f>
        <v>#REF!</v>
      </c>
      <c r="N366" s="4580"/>
      <c r="O366" s="4580"/>
      <c r="P366" s="4581"/>
    </row>
    <row r="367" spans="1:18" s="36" customFormat="1" ht="12.75" customHeight="1">
      <c r="C367" s="230"/>
      <c r="D367" s="230"/>
      <c r="E367" s="230"/>
      <c r="F367" s="44" t="s">
        <v>4136</v>
      </c>
      <c r="I367"/>
      <c r="J367" s="4450">
        <f>IF(L344="", IF($J366&gt;=30000, 3,IF($J366&gt;=20000, 2,IF($J366&gt;=10000,1,0))),0)</f>
        <v>0</v>
      </c>
      <c r="K367" s="4452"/>
      <c r="L367" s="397"/>
      <c r="M367" s="4450">
        <f>IF(R344="", IF($M366&gt;=30000, 3,IF($M366&gt;=20000, 2,IF($M366&gt;=10000,1,0))),0)</f>
        <v>0</v>
      </c>
      <c r="N367" s="4451"/>
      <c r="O367" s="4451"/>
      <c r="P367" s="4452"/>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3929</v>
      </c>
      <c r="V369" s="832"/>
    </row>
    <row r="370" spans="1:22" s="36" customFormat="1" ht="22.5" customHeight="1">
      <c r="A370" s="107"/>
      <c r="B370" s="349" t="s">
        <v>1839</v>
      </c>
      <c r="C370" s="4109" t="s">
        <v>4498</v>
      </c>
      <c r="D370" s="4109"/>
      <c r="E370" s="4109"/>
      <c r="F370" s="4109"/>
      <c r="G370" s="4109"/>
      <c r="H370" s="4109"/>
      <c r="I370" s="4109"/>
      <c r="J370" s="4109"/>
      <c r="K370" s="4109"/>
      <c r="L370" s="4109"/>
      <c r="M370" s="4109"/>
      <c r="N370" s="373" t="s">
        <v>1839</v>
      </c>
      <c r="O370" s="825"/>
      <c r="P370" s="1501"/>
      <c r="V370" s="832"/>
    </row>
    <row r="371" spans="1:22" s="36" customFormat="1" ht="12.75" customHeight="1">
      <c r="A371" s="107"/>
      <c r="B371" s="306" t="s">
        <v>1841</v>
      </c>
      <c r="C371" s="29" t="s">
        <v>3186</v>
      </c>
      <c r="D371" s="29"/>
      <c r="E371" s="29"/>
      <c r="F371" s="29"/>
      <c r="G371" s="29"/>
      <c r="H371" s="29"/>
      <c r="I371" s="29"/>
      <c r="J371" s="29"/>
      <c r="K371" s="29"/>
      <c r="M371" s="29"/>
      <c r="N371" s="347" t="s">
        <v>1841</v>
      </c>
      <c r="O371" s="299"/>
      <c r="P371" s="419"/>
      <c r="V371" s="832"/>
    </row>
    <row r="372" spans="1:22" ht="12.75" customHeight="1">
      <c r="B372" s="306" t="s">
        <v>2326</v>
      </c>
      <c r="C372" s="44" t="s">
        <v>3704</v>
      </c>
      <c r="N372" s="347" t="s">
        <v>2326</v>
      </c>
      <c r="O372" s="176"/>
      <c r="P372" s="420"/>
    </row>
    <row r="373" spans="1:22" ht="12" customHeight="1" thickBot="1">
      <c r="B373" s="924" t="s">
        <v>3158</v>
      </c>
    </row>
    <row r="374" spans="1:22" s="36" customFormat="1" ht="21.75" customHeight="1" thickTop="1" thickBot="1">
      <c r="A374" s="4427"/>
      <c r="B374" s="4428"/>
      <c r="C374" s="4428"/>
      <c r="D374" s="4428"/>
      <c r="E374" s="4428"/>
      <c r="F374" s="4428"/>
      <c r="G374" s="4428"/>
      <c r="H374" s="4428"/>
      <c r="I374" s="4428"/>
      <c r="J374" s="4428"/>
      <c r="K374" s="4428"/>
      <c r="L374" s="4428"/>
      <c r="M374" s="4428"/>
      <c r="N374" s="4428"/>
      <c r="O374" s="4428"/>
      <c r="P374" s="4429"/>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7"/>
      <c r="B376" s="4278"/>
      <c r="C376" s="4278"/>
      <c r="D376" s="4278"/>
      <c r="E376" s="4278"/>
      <c r="F376" s="4278"/>
      <c r="G376" s="4278"/>
      <c r="H376" s="4278"/>
      <c r="I376" s="4278"/>
      <c r="J376" s="4278"/>
      <c r="K376" s="4278"/>
      <c r="L376" s="4278"/>
      <c r="M376" s="4278"/>
      <c r="N376" s="4278"/>
      <c r="O376" s="4278"/>
      <c r="P376" s="4279"/>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3290</v>
      </c>
      <c r="B378" s="83" t="s">
        <v>2462</v>
      </c>
      <c r="D378" s="33"/>
      <c r="G378" s="46" t="s">
        <v>3987</v>
      </c>
      <c r="I378" s="1462" t="s">
        <v>4147</v>
      </c>
      <c r="J378" s="1461" t="e">
        <f>IF(OR($M$34="9% Credit Competitive Round only", $M$34="9% Credit &amp; HOME"),"9%",IF(OR($M$34="4% Credit/TE Bond", $M$34="4% Credit/TE Bond &amp; HOME", $M$34="4% Credit/TE Bond &amp; HOME NOFA", $M$34="4% Credit &amp; NHTF", $M$34="4% Credit &amp; NHTF &amp; HOME"),"4%",""))</f>
        <v>#REF!</v>
      </c>
      <c r="K378" s="1462" t="s">
        <v>362</v>
      </c>
      <c r="L378" s="1461" t="str">
        <f>M55</f>
        <v>&lt;&lt; Select Activity Type &gt;&gt;</v>
      </c>
      <c r="M378" s="119">
        <v>2</v>
      </c>
      <c r="N378" s="48"/>
      <c r="O378" s="855">
        <f>MIN($M378,O382+O389)</f>
        <v>0</v>
      </c>
      <c r="P378" s="885">
        <f>MIN($M378,P382+P389)</f>
        <v>0</v>
      </c>
      <c r="Q378" s="86" t="s">
        <v>415</v>
      </c>
      <c r="R378" s="1854"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8" t="s">
        <v>3763</v>
      </c>
      <c r="E380" s="3429"/>
      <c r="F380" s="3429"/>
      <c r="G380" s="3429"/>
      <c r="H380" s="3429"/>
      <c r="I380" s="3430"/>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3831</v>
      </c>
      <c r="C382" s="108"/>
      <c r="D382" s="108"/>
      <c r="E382" s="108"/>
      <c r="F382" s="108"/>
      <c r="G382" s="108"/>
      <c r="H382" s="108"/>
      <c r="I382" s="108"/>
      <c r="M382" s="1757">
        <v>2</v>
      </c>
      <c r="N382" s="128" t="s">
        <v>1836</v>
      </c>
      <c r="O382" s="458"/>
      <c r="P382" s="1019"/>
      <c r="Q382" s="785" t="str">
        <f>IF(OR($O382=$M382,$O382=0,$O382=""),"","*CHECK!*")</f>
        <v/>
      </c>
      <c r="R382" s="782" t="s">
        <v>3929</v>
      </c>
    </row>
    <row r="383" spans="1:22" s="331" customFormat="1" ht="12" customHeight="1">
      <c r="A383" s="330"/>
      <c r="B383" s="4266" t="s">
        <v>4499</v>
      </c>
      <c r="C383" s="4266"/>
      <c r="D383" s="4266"/>
      <c r="E383" s="4266"/>
      <c r="F383" s="4266"/>
      <c r="G383" s="4266"/>
      <c r="H383" s="4266"/>
      <c r="I383" s="4266"/>
      <c r="J383" s="4266"/>
      <c r="K383" s="4266"/>
      <c r="L383" s="4266"/>
      <c r="M383" s="4478" t="s">
        <v>3764</v>
      </c>
      <c r="N383" s="4478"/>
      <c r="Q383" s="147"/>
    </row>
    <row r="384" spans="1:22" s="331" customFormat="1" ht="12" customHeight="1">
      <c r="B384" s="4266"/>
      <c r="C384" s="4266"/>
      <c r="D384" s="4266"/>
      <c r="E384" s="4266"/>
      <c r="F384" s="4266"/>
      <c r="G384" s="4266"/>
      <c r="H384" s="4266"/>
      <c r="I384" s="4266"/>
      <c r="J384" s="4266"/>
      <c r="K384" s="4266"/>
      <c r="L384" s="4266"/>
      <c r="M384" s="4478"/>
      <c r="N384" s="4478"/>
      <c r="O384" s="4484" t="e">
        <f>#REF!</f>
        <v>#REF!</v>
      </c>
      <c r="P384" s="4485"/>
      <c r="Q384" s="147"/>
    </row>
    <row r="385" spans="1:19" s="331" customFormat="1" ht="12" customHeight="1">
      <c r="B385" s="4266"/>
      <c r="C385" s="4266"/>
      <c r="D385" s="4266"/>
      <c r="E385" s="4266"/>
      <c r="F385" s="4266"/>
      <c r="G385" s="4266"/>
      <c r="H385" s="4266"/>
      <c r="I385" s="4266"/>
      <c r="J385" s="4266"/>
      <c r="K385" s="4266"/>
      <c r="L385" s="4266"/>
      <c r="M385" s="241" t="s">
        <v>2510</v>
      </c>
      <c r="N385" s="332"/>
      <c r="O385" s="4482" t="e">
        <f>#REF!</f>
        <v>#REF!</v>
      </c>
      <c r="P385" s="4483"/>
      <c r="Q385" s="147"/>
    </row>
    <row r="386" spans="1:19" s="331" customFormat="1" ht="12" customHeight="1">
      <c r="B386" s="4475"/>
      <c r="C386" s="4475"/>
      <c r="D386" s="4475"/>
      <c r="E386" s="4475"/>
      <c r="F386" s="4475"/>
      <c r="G386" s="4475"/>
      <c r="H386" s="4475"/>
      <c r="I386" s="4475"/>
      <c r="J386" s="4475"/>
      <c r="K386" s="4475"/>
      <c r="L386" s="4475"/>
      <c r="M386" s="1135" t="s">
        <v>2511</v>
      </c>
      <c r="N386" s="332"/>
      <c r="O386" s="4476" t="e">
        <f>IF(O385=0,0,O384/O385)</f>
        <v>#REF!</v>
      </c>
      <c r="P386" s="4477"/>
      <c r="Q386" s="147"/>
    </row>
    <row r="387" spans="1:19" s="36" customFormat="1" ht="105.75" customHeight="1">
      <c r="A387" s="410"/>
      <c r="B387" s="4255" t="s">
        <v>3328</v>
      </c>
      <c r="C387" s="4256"/>
      <c r="D387" s="4256"/>
      <c r="E387" s="4256"/>
      <c r="F387" s="4256"/>
      <c r="G387" s="4256"/>
      <c r="H387" s="4256"/>
      <c r="I387" s="4256"/>
      <c r="J387" s="4256"/>
      <c r="K387" s="4256"/>
      <c r="L387" s="4256"/>
      <c r="M387" s="4256"/>
      <c r="N387" s="4256"/>
      <c r="O387" s="4256"/>
      <c r="P387" s="4257"/>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3327</v>
      </c>
      <c r="B389" s="100" t="s">
        <v>3832</v>
      </c>
      <c r="C389" s="108"/>
      <c r="H389" s="108"/>
      <c r="M389" s="332">
        <v>2</v>
      </c>
      <c r="N389" s="128" t="s">
        <v>1838</v>
      </c>
      <c r="O389" s="458"/>
      <c r="P389" s="1019"/>
      <c r="Q389" s="785" t="str">
        <f>IF(OR($O389=$M389,$O389=0,$O389=""),"","*CHECK!*")</f>
        <v/>
      </c>
      <c r="R389" s="782" t="s">
        <v>3929</v>
      </c>
    </row>
    <row r="390" spans="1:19" s="331" customFormat="1" ht="11.25" customHeight="1">
      <c r="A390" s="411"/>
      <c r="B390" s="108" t="s">
        <v>4500</v>
      </c>
      <c r="C390" s="108"/>
      <c r="D390" s="108"/>
      <c r="E390" s="108"/>
      <c r="F390" s="108"/>
      <c r="G390" s="108"/>
      <c r="H390" s="108"/>
      <c r="I390" s="108"/>
      <c r="J390" s="108"/>
      <c r="K390" s="108"/>
      <c r="L390" s="108"/>
      <c r="Q390" s="147"/>
    </row>
    <row r="391" spans="1:19" s="331" customFormat="1" ht="11.25" customHeight="1">
      <c r="A391" s="411"/>
      <c r="E391" s="1751"/>
      <c r="G391" s="1182" t="s">
        <v>3705</v>
      </c>
      <c r="H391" s="1753" t="e">
        <f>#REF!</f>
        <v>#REF!</v>
      </c>
      <c r="I391" s="934" t="s">
        <v>2510</v>
      </c>
      <c r="J391" s="409" t="e">
        <f>#REF!</f>
        <v>#REF!</v>
      </c>
      <c r="K391" s="1755" t="s">
        <v>2511</v>
      </c>
      <c r="L391" s="1754" t="e">
        <f>IF(J391=0,0,H391/J391)</f>
        <v>#REF!</v>
      </c>
      <c r="N391" s="1752"/>
      <c r="Q391" s="147"/>
    </row>
    <row r="392" spans="1:19" s="36" customFormat="1" ht="11.25" customHeight="1" thickBot="1">
      <c r="A392" s="35"/>
      <c r="B392" s="924" t="s">
        <v>3158</v>
      </c>
      <c r="C392" s="35"/>
      <c r="D392" s="41"/>
      <c r="E392" s="41"/>
      <c r="F392" s="41"/>
      <c r="G392" s="41"/>
      <c r="H392" s="29"/>
      <c r="I392" s="29"/>
      <c r="J392" s="29"/>
      <c r="K392" s="29"/>
      <c r="M392" s="39"/>
      <c r="N392" s="47"/>
      <c r="O392" s="3"/>
      <c r="P392" s="24"/>
    </row>
    <row r="393" spans="1:19" s="36" customFormat="1" ht="73.5" customHeight="1" thickTop="1" thickBot="1">
      <c r="A393" s="4427"/>
      <c r="B393" s="4428"/>
      <c r="C393" s="4428"/>
      <c r="D393" s="4428"/>
      <c r="E393" s="4428"/>
      <c r="F393" s="4428"/>
      <c r="G393" s="4428"/>
      <c r="H393" s="4428"/>
      <c r="I393" s="4428"/>
      <c r="J393" s="4428"/>
      <c r="K393" s="4428"/>
      <c r="L393" s="4428"/>
      <c r="M393" s="4428"/>
      <c r="N393" s="4428"/>
      <c r="O393" s="4428"/>
      <c r="P393" s="4429"/>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7"/>
      <c r="B395" s="4278"/>
      <c r="C395" s="4278"/>
      <c r="D395" s="4278"/>
      <c r="E395" s="4278"/>
      <c r="F395" s="4278"/>
      <c r="G395" s="4278"/>
      <c r="H395" s="4278"/>
      <c r="I395" s="4278"/>
      <c r="J395" s="4278"/>
      <c r="K395" s="4278"/>
      <c r="L395" s="4278"/>
      <c r="M395" s="4278"/>
      <c r="N395" s="4278"/>
      <c r="O395" s="4278"/>
      <c r="P395" s="4279"/>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3291</v>
      </c>
      <c r="B397" s="83" t="s">
        <v>3908</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0">
        <v>10</v>
      </c>
      <c r="P399" s="1780">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7"/>
      <c r="B403" s="4278"/>
      <c r="C403" s="4278"/>
      <c r="D403" s="4278"/>
      <c r="E403" s="4278"/>
      <c r="F403" s="4278"/>
      <c r="G403" s="4278"/>
      <c r="H403" s="4278"/>
      <c r="I403" s="4278"/>
      <c r="J403" s="4278"/>
      <c r="K403" s="4278"/>
      <c r="L403" s="4278"/>
      <c r="M403" s="4278"/>
      <c r="N403" s="4278"/>
      <c r="O403" s="4278"/>
      <c r="P403" s="4279"/>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3292</v>
      </c>
      <c r="B405" s="83" t="s">
        <v>4501</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4502</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4503</v>
      </c>
      <c r="C407" s="26"/>
      <c r="D407" s="70"/>
      <c r="E407" s="66"/>
      <c r="F407" s="29"/>
      <c r="G407" s="29"/>
      <c r="H407" s="29"/>
      <c r="I407" s="70"/>
      <c r="J407" s="70"/>
      <c r="K407" s="31"/>
      <c r="L407" s="1879"/>
      <c r="M407" s="457">
        <v>1</v>
      </c>
      <c r="N407" s="1572" t="s">
        <v>1836</v>
      </c>
      <c r="O407" s="1261"/>
      <c r="P407" s="1262"/>
      <c r="Q407" s="785" t="str">
        <f>IF(OR($O407=$M407,$O407=0,$O407=""),"","*CHECK!*")</f>
        <v/>
      </c>
      <c r="R407" s="782" t="s">
        <v>2452</v>
      </c>
    </row>
    <row r="408" spans="1:21" s="108" customFormat="1" ht="12" customHeight="1">
      <c r="A408" s="674" t="s">
        <v>1838</v>
      </c>
      <c r="B408" s="141" t="s">
        <v>4504</v>
      </c>
      <c r="C408" s="103"/>
      <c r="D408" s="103"/>
      <c r="E408" s="103"/>
      <c r="F408" s="103"/>
      <c r="G408" s="29"/>
      <c r="H408" s="103"/>
      <c r="I408" s="103"/>
      <c r="J408" s="103"/>
      <c r="K408" s="103"/>
      <c r="L408" s="103"/>
      <c r="M408" s="457">
        <v>1</v>
      </c>
      <c r="N408" s="1572" t="s">
        <v>1838</v>
      </c>
      <c r="O408" s="405"/>
      <c r="P408" s="413"/>
      <c r="Q408" s="785" t="str">
        <f>IF(OR($O408=$M408,$O408=0,$O408=""),"","*CHECK!*")</f>
        <v/>
      </c>
      <c r="R408" s="782" t="s">
        <v>2452</v>
      </c>
    </row>
    <row r="409" spans="1:21" ht="12" customHeight="1">
      <c r="A409" s="674" t="s">
        <v>697</v>
      </c>
      <c r="B409" s="141" t="s">
        <v>4137</v>
      </c>
      <c r="C409" s="26"/>
      <c r="D409" s="26"/>
      <c r="E409" s="26"/>
      <c r="F409" s="26"/>
      <c r="G409" s="26"/>
      <c r="H409" s="26"/>
      <c r="I409" s="26"/>
      <c r="J409" s="26"/>
      <c r="K409" s="26"/>
      <c r="L409" s="26"/>
      <c r="M409" s="457">
        <v>1</v>
      </c>
      <c r="N409" s="1572" t="s">
        <v>697</v>
      </c>
      <c r="O409" s="1782"/>
      <c r="P409" s="1783"/>
      <c r="Q409" s="785" t="str">
        <f>IF(OR($O409=$M409,$O409=0,$O409=""),"","*CHECK!*")</f>
        <v/>
      </c>
      <c r="R409" s="782" t="s">
        <v>2452</v>
      </c>
      <c r="S409" s="36"/>
      <c r="T409" s="36"/>
      <c r="U409" s="36"/>
    </row>
    <row r="410" spans="1:21" s="72" customFormat="1" ht="12" customHeight="1">
      <c r="A410" s="674" t="s">
        <v>1957</v>
      </c>
      <c r="B410" s="141" t="s">
        <v>4505</v>
      </c>
      <c r="H410" s="29"/>
      <c r="M410" s="457">
        <v>2</v>
      </c>
      <c r="N410" s="1572"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1">
        <v>2</v>
      </c>
      <c r="P411" s="1851">
        <v>2</v>
      </c>
      <c r="Q411" s="86"/>
    </row>
    <row r="412" spans="1:21" s="70" customFormat="1" ht="12" customHeight="1">
      <c r="A412" s="121"/>
      <c r="C412" s="66" t="s">
        <v>3094</v>
      </c>
      <c r="D412" s="38"/>
      <c r="E412" s="38"/>
      <c r="F412" s="32"/>
      <c r="G412" s="29"/>
      <c r="I412" s="29"/>
      <c r="J412" s="29"/>
      <c r="K412" s="29"/>
      <c r="L412" s="307"/>
      <c r="M412" s="119"/>
      <c r="N412" s="5"/>
      <c r="O412" s="1781"/>
      <c r="P412" s="652"/>
      <c r="Q412" s="86"/>
      <c r="R412" s="782" t="s">
        <v>2452</v>
      </c>
    </row>
    <row r="413" spans="1:21" s="36" customFormat="1" ht="10.5" customHeight="1" thickBot="1">
      <c r="A413" s="35"/>
      <c r="B413" s="924" t="s">
        <v>3158</v>
      </c>
      <c r="C413" s="35"/>
      <c r="D413" s="41"/>
      <c r="E413" s="41"/>
      <c r="F413" s="41"/>
      <c r="G413" s="41"/>
      <c r="H413" s="29"/>
      <c r="I413" s="29"/>
      <c r="J413" s="29"/>
      <c r="K413" s="29"/>
      <c r="M413" s="39"/>
      <c r="N413" s="47"/>
      <c r="O413" s="3"/>
      <c r="P413" s="24"/>
    </row>
    <row r="414" spans="1:21" s="36" customFormat="1" ht="45.75" customHeight="1" thickTop="1" thickBot="1">
      <c r="A414" s="4427"/>
      <c r="B414" s="4428"/>
      <c r="C414" s="4428"/>
      <c r="D414" s="4428"/>
      <c r="E414" s="4428"/>
      <c r="F414" s="4428"/>
      <c r="G414" s="4428"/>
      <c r="H414" s="4428"/>
      <c r="I414" s="4428"/>
      <c r="J414" s="4428"/>
      <c r="K414" s="4428"/>
      <c r="L414" s="4428"/>
      <c r="M414" s="4428"/>
      <c r="N414" s="4428"/>
      <c r="O414" s="4428"/>
      <c r="P414" s="4429"/>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7"/>
      <c r="B416" s="4278"/>
      <c r="C416" s="4278"/>
      <c r="D416" s="4278"/>
      <c r="E416" s="4278"/>
      <c r="F416" s="4278"/>
      <c r="G416" s="4278"/>
      <c r="H416" s="4278"/>
      <c r="I416" s="4278"/>
      <c r="J416" s="4278"/>
      <c r="K416" s="4278"/>
      <c r="L416" s="4278"/>
      <c r="M416" s="4278"/>
      <c r="N416" s="4278"/>
      <c r="O416" s="4278"/>
      <c r="P416" s="4279"/>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3293</v>
      </c>
      <c r="B418" s="83" t="s">
        <v>4138</v>
      </c>
      <c r="D418" s="38"/>
      <c r="E418" s="38"/>
      <c r="F418" s="32"/>
      <c r="L418" s="785"/>
      <c r="M418" s="119">
        <v>6</v>
      </c>
      <c r="N418" s="5"/>
      <c r="O418" s="886"/>
      <c r="P418" s="870"/>
      <c r="Q418" s="86" t="s">
        <v>415</v>
      </c>
      <c r="R418" s="782" t="s">
        <v>2452</v>
      </c>
    </row>
    <row r="419" spans="1:18" s="36" customFormat="1" ht="10.5" customHeight="1" thickBot="1">
      <c r="A419" s="35"/>
      <c r="B419" s="924" t="s">
        <v>3158</v>
      </c>
      <c r="C419" s="35"/>
      <c r="D419" s="41"/>
      <c r="E419" s="41"/>
      <c r="F419" s="41"/>
      <c r="G419" s="41"/>
      <c r="H419" s="29"/>
      <c r="I419" s="29"/>
      <c r="J419" s="29"/>
      <c r="K419" s="29"/>
      <c r="M419" s="39"/>
      <c r="N419" s="47"/>
      <c r="O419" s="3"/>
      <c r="P419" s="24"/>
    </row>
    <row r="420" spans="1:18" s="36" customFormat="1" ht="45.75" customHeight="1" thickTop="1" thickBot="1">
      <c r="A420" s="4427"/>
      <c r="B420" s="4428"/>
      <c r="C420" s="4428"/>
      <c r="D420" s="4428"/>
      <c r="E420" s="4428"/>
      <c r="F420" s="4428"/>
      <c r="G420" s="4428"/>
      <c r="H420" s="4428"/>
      <c r="I420" s="4428"/>
      <c r="J420" s="4428"/>
      <c r="K420" s="4428"/>
      <c r="L420" s="4428"/>
      <c r="M420" s="4428"/>
      <c r="N420" s="4428"/>
      <c r="O420" s="4428"/>
      <c r="P420" s="4429"/>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7"/>
      <c r="B422" s="4278"/>
      <c r="C422" s="4278"/>
      <c r="D422" s="4278"/>
      <c r="E422" s="4278"/>
      <c r="F422" s="4278"/>
      <c r="G422" s="4278"/>
      <c r="H422" s="4278"/>
      <c r="I422" s="4278"/>
      <c r="J422" s="4278"/>
      <c r="K422" s="4278"/>
      <c r="L422" s="4278"/>
      <c r="M422" s="4278"/>
      <c r="N422" s="4278"/>
      <c r="O422" s="4278"/>
      <c r="P422" s="4279"/>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3294</v>
      </c>
      <c r="B424" s="83" t="s">
        <v>4506</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7"/>
      <c r="B426" s="4278"/>
      <c r="C426" s="4278"/>
      <c r="D426" s="4278"/>
      <c r="E426" s="4278"/>
      <c r="F426" s="4278"/>
      <c r="G426" s="4278"/>
      <c r="H426" s="4278"/>
      <c r="I426" s="4278"/>
      <c r="J426" s="4278"/>
      <c r="K426" s="4278"/>
      <c r="L426" s="4278"/>
      <c r="M426" s="4278"/>
      <c r="N426" s="4278"/>
      <c r="O426" s="4278"/>
      <c r="P426" s="4279"/>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3680</v>
      </c>
      <c r="B428" s="83" t="s">
        <v>4507</v>
      </c>
      <c r="D428" s="38"/>
      <c r="L428" s="785"/>
      <c r="M428" s="119">
        <v>4</v>
      </c>
      <c r="N428" s="5"/>
      <c r="O428" s="886"/>
      <c r="P428" s="870"/>
      <c r="Q428" s="86" t="s">
        <v>415</v>
      </c>
      <c r="R428" s="782" t="s">
        <v>2452</v>
      </c>
    </row>
    <row r="429" spans="1:18" s="36" customFormat="1" ht="10.5" customHeight="1" thickBot="1">
      <c r="A429" s="35"/>
      <c r="B429" s="924" t="s">
        <v>3158</v>
      </c>
      <c r="C429" s="35"/>
      <c r="D429" s="41"/>
      <c r="E429" s="41"/>
      <c r="F429" s="41"/>
      <c r="G429" s="41"/>
      <c r="H429" s="29"/>
      <c r="I429" s="29"/>
      <c r="J429" s="29"/>
      <c r="K429" s="29"/>
      <c r="M429" s="39"/>
      <c r="N429" s="47"/>
      <c r="O429" s="3"/>
      <c r="P429" s="24"/>
    </row>
    <row r="430" spans="1:18" s="36" customFormat="1" ht="45.75" customHeight="1" thickTop="1" thickBot="1">
      <c r="A430" s="4427"/>
      <c r="B430" s="4428"/>
      <c r="C430" s="4428"/>
      <c r="D430" s="4428"/>
      <c r="E430" s="4428"/>
      <c r="F430" s="4428"/>
      <c r="G430" s="4428"/>
      <c r="H430" s="4428"/>
      <c r="I430" s="4428"/>
      <c r="J430" s="4428"/>
      <c r="K430" s="4428"/>
      <c r="L430" s="4428"/>
      <c r="M430" s="4428"/>
      <c r="N430" s="4428"/>
      <c r="O430" s="4428"/>
      <c r="P430" s="4429"/>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7"/>
      <c r="B432" s="4278"/>
      <c r="C432" s="4278"/>
      <c r="D432" s="4278"/>
      <c r="E432" s="4278"/>
      <c r="F432" s="4278"/>
      <c r="G432" s="4278"/>
      <c r="H432" s="4278"/>
      <c r="I432" s="4278"/>
      <c r="J432" s="4278"/>
      <c r="K432" s="4278"/>
      <c r="L432" s="4278"/>
      <c r="M432" s="4278"/>
      <c r="N432" s="4278"/>
      <c r="O432" s="4278"/>
      <c r="P432" s="4279"/>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4452</v>
      </c>
      <c r="B434" s="83" t="s">
        <v>4508</v>
      </c>
      <c r="D434" s="38"/>
      <c r="G434" s="46" t="s">
        <v>3987</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4035</v>
      </c>
      <c r="C435"/>
      <c r="E435" s="67"/>
      <c r="F435" s="29"/>
      <c r="G435" s="29"/>
      <c r="H435" s="29"/>
      <c r="K435" s="31"/>
      <c r="L435" s="45"/>
      <c r="M435" s="457">
        <v>6</v>
      </c>
      <c r="N435" s="1572" t="s">
        <v>1836</v>
      </c>
      <c r="O435" s="1758"/>
      <c r="P435" s="1759"/>
      <c r="Q435" s="785" t="str">
        <f>IF(OR($O435&lt;=$M435,$O435=0,$O435=""),"","*CHECK!*")</f>
        <v/>
      </c>
      <c r="R435" s="782" t="s">
        <v>2452</v>
      </c>
    </row>
    <row r="436" spans="1:27" s="108" customFormat="1" ht="12" customHeight="1">
      <c r="A436" s="1756" t="s">
        <v>1838</v>
      </c>
      <c r="B436" s="884" t="s">
        <v>4036</v>
      </c>
      <c r="C436" s="456"/>
      <c r="D436" s="456"/>
      <c r="E436" s="456"/>
      <c r="F436" s="456"/>
      <c r="H436" s="456"/>
      <c r="I436" s="456"/>
      <c r="J436" s="103"/>
      <c r="K436" s="103"/>
      <c r="L436" s="103"/>
      <c r="M436" s="457">
        <v>4</v>
      </c>
      <c r="N436" s="1572" t="s">
        <v>1838</v>
      </c>
      <c r="O436" s="406"/>
      <c r="P436" s="414"/>
      <c r="Q436" s="785" t="str">
        <f>IF(OR($O436&lt;=$M436,$O436=0,$O436=""),"","*CHECK!*")</f>
        <v/>
      </c>
      <c r="R436" s="782" t="s">
        <v>2452</v>
      </c>
    </row>
    <row r="437" spans="1:27" s="36" customFormat="1" ht="10.5" customHeight="1" thickBot="1">
      <c r="A437" s="35"/>
      <c r="B437" s="924" t="s">
        <v>3158</v>
      </c>
      <c r="C437" s="35"/>
      <c r="D437" s="41"/>
      <c r="E437" s="41"/>
      <c r="F437" s="41"/>
      <c r="G437" s="41"/>
      <c r="H437" s="29"/>
      <c r="I437" s="29"/>
      <c r="J437" s="29"/>
      <c r="K437" s="29"/>
      <c r="M437" s="39"/>
      <c r="N437" s="47"/>
      <c r="O437" s="3"/>
      <c r="P437" s="24"/>
    </row>
    <row r="438" spans="1:27" s="36" customFormat="1" ht="45.75" customHeight="1" thickTop="1" thickBot="1">
      <c r="A438" s="4427"/>
      <c r="B438" s="4428"/>
      <c r="C438" s="4428"/>
      <c r="D438" s="4428"/>
      <c r="E438" s="4428"/>
      <c r="F438" s="4428"/>
      <c r="G438" s="4428"/>
      <c r="H438" s="4428"/>
      <c r="I438" s="4428"/>
      <c r="J438" s="4428"/>
      <c r="K438" s="4428"/>
      <c r="L438" s="4428"/>
      <c r="M438" s="4428"/>
      <c r="N438" s="4428"/>
      <c r="O438" s="4428"/>
      <c r="P438" s="4429"/>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7"/>
      <c r="B440" s="4278"/>
      <c r="C440" s="4278"/>
      <c r="D440" s="4278"/>
      <c r="E440" s="4278"/>
      <c r="F440" s="4278"/>
      <c r="G440" s="4278"/>
      <c r="H440" s="4278"/>
      <c r="I440" s="4278"/>
      <c r="J440" s="4278"/>
      <c r="K440" s="4278"/>
      <c r="L440" s="4278"/>
      <c r="M440" s="4278"/>
      <c r="N440" s="4278"/>
      <c r="O440" s="4278"/>
      <c r="P440" s="4279"/>
      <c r="Q440" s="354"/>
      <c r="R440" s="354"/>
    </row>
    <row r="441" spans="1:27" ht="13.5" customHeight="1" thickBot="1">
      <c r="Q441" s="4354" t="s">
        <v>4638</v>
      </c>
      <c r="R441" s="4354"/>
      <c r="S441" s="4354"/>
      <c r="T441" s="4354"/>
      <c r="U441" s="4354"/>
      <c r="V441" s="4354"/>
      <c r="W441" s="4354"/>
      <c r="X441" s="4354"/>
      <c r="Y441" s="4354"/>
      <c r="Z441" s="4354"/>
      <c r="AA441" s="4354"/>
    </row>
    <row r="442" spans="1:27" s="35" customFormat="1" ht="12.75" customHeight="1" thickTop="1" thickBot="1">
      <c r="A442" s="122" t="s">
        <v>401</v>
      </c>
      <c r="B442" s="50"/>
      <c r="D442" s="28"/>
      <c r="E442" s="28"/>
      <c r="F442" s="36"/>
      <c r="I442" s="123"/>
      <c r="J442" s="123"/>
      <c r="K442" s="123"/>
      <c r="L442" s="70"/>
      <c r="M442" s="1546" t="e">
        <f>IF(AND(P37="9%",M55="New Supply"),G63,IF(AND(P37="4%",M55="New Supply"),H63,IF(AND(P37="9%",M55="Rehabilitation"),J63,IF(AND(P37="4%",M55="Rehabilitation"),I63,K63))))</f>
        <v>#REF!</v>
      </c>
      <c r="N442" s="124"/>
      <c r="O442" s="1529" t="e">
        <f>O64+O89+O103+O113+O152+O169+O205+O225+O233+O242+O252+O261+O274+O285+O310+O334+O342+O378+O397+O405+O418+O428+O434</f>
        <v>#REF!</v>
      </c>
      <c r="P442" s="1529" t="e">
        <f>-P10+P64+P89+P103+P113+P152+P169+P190+P205+P225+P233+P242+P252+P261+P274+P285+P310+P318+P334+P342+P378+P397+P405+P418+P424+P428+P434</f>
        <v>#REF!</v>
      </c>
      <c r="Q442" s="4354"/>
      <c r="R442" s="4354"/>
      <c r="S442" s="4354"/>
      <c r="T442" s="4354"/>
      <c r="U442" s="4354"/>
      <c r="V442" s="4354"/>
      <c r="W442" s="4354"/>
      <c r="X442" s="4354"/>
      <c r="Y442" s="4354"/>
      <c r="Z442" s="4354"/>
      <c r="AA442" s="4354"/>
    </row>
    <row r="443" spans="1:27" s="36" customFormat="1" ht="15.75" thickTop="1">
      <c r="A443" s="35"/>
      <c r="C443" s="874"/>
      <c r="D443" s="874"/>
      <c r="E443" s="874"/>
      <c r="F443" s="874"/>
      <c r="G443" s="874"/>
      <c r="H443" s="874"/>
      <c r="I443" s="874"/>
      <c r="J443" s="874"/>
      <c r="K443" s="874"/>
      <c r="L443" s="874"/>
      <c r="M443" s="874"/>
      <c r="N443" s="874"/>
      <c r="O443" s="874"/>
      <c r="P443" s="874"/>
      <c r="Q443" s="4354"/>
      <c r="R443" s="4354"/>
      <c r="S443" s="4354"/>
      <c r="T443" s="4354"/>
      <c r="U443" s="4354"/>
      <c r="V443" s="4354"/>
      <c r="W443" s="4354"/>
      <c r="X443" s="4354"/>
      <c r="Y443" s="4354"/>
      <c r="Z443" s="4354"/>
      <c r="AA443" s="4354"/>
    </row>
    <row r="444" spans="1:27" s="115" customFormat="1" ht="6.75" customHeight="1">
      <c r="A444" s="36"/>
      <c r="B444" s="50"/>
      <c r="C444" s="36"/>
      <c r="F444" s="33"/>
      <c r="G444" s="33"/>
      <c r="H444" s="51"/>
      <c r="I444" s="51"/>
      <c r="L444" s="36"/>
      <c r="N444" s="119"/>
      <c r="O444" s="119"/>
      <c r="P444" s="3"/>
      <c r="Q444" s="4354"/>
      <c r="R444" s="4354"/>
      <c r="S444" s="4354"/>
      <c r="T444" s="4354"/>
      <c r="U444" s="4354"/>
      <c r="V444" s="4354"/>
      <c r="W444" s="4354"/>
      <c r="X444" s="4354"/>
      <c r="Y444" s="4354"/>
      <c r="Z444" s="4354"/>
      <c r="AA444" s="4354"/>
    </row>
    <row r="445" spans="1:27" s="36" customFormat="1" ht="22.5" customHeight="1">
      <c r="A445" s="4575" t="s">
        <v>4593</v>
      </c>
      <c r="B445" s="4575"/>
      <c r="C445" s="4575"/>
      <c r="D445" s="4575"/>
      <c r="E445" s="4575"/>
      <c r="F445" s="4575"/>
      <c r="G445" s="4575"/>
      <c r="H445" s="4575"/>
      <c r="I445" s="4575"/>
      <c r="J445" s="4575"/>
      <c r="K445" s="4575"/>
      <c r="L445" s="4575"/>
      <c r="M445" s="4575"/>
      <c r="N445" s="4575"/>
      <c r="O445" s="4575"/>
      <c r="P445" s="4575"/>
      <c r="Q445" s="4354"/>
      <c r="R445" s="4354"/>
      <c r="S445" s="4354"/>
      <c r="T445" s="4354"/>
      <c r="U445" s="4354"/>
      <c r="V445" s="4354"/>
      <c r="W445" s="4354"/>
      <c r="X445" s="4354"/>
      <c r="Y445" s="4354"/>
      <c r="Z445" s="4354"/>
      <c r="AA445" s="4354"/>
    </row>
    <row r="446" spans="1:27" s="36" customFormat="1" ht="409.15" customHeight="1">
      <c r="A446" s="4106"/>
      <c r="B446" s="4107"/>
      <c r="C446" s="4107"/>
      <c r="D446" s="4107"/>
      <c r="E446" s="4107"/>
      <c r="F446" s="4107"/>
      <c r="G446" s="4107"/>
      <c r="H446" s="4107"/>
      <c r="I446" s="4107"/>
      <c r="J446" s="4107"/>
      <c r="K446" s="4107"/>
      <c r="L446" s="4107"/>
      <c r="M446" s="4107"/>
      <c r="N446" s="4107"/>
      <c r="O446" s="4107"/>
      <c r="P446" s="4108"/>
      <c r="Q446" s="1874"/>
      <c r="R446" s="1874"/>
      <c r="S446" s="1874"/>
      <c r="T446" s="1874"/>
      <c r="U446" s="1874"/>
      <c r="V446" s="1874"/>
      <c r="W446" s="1874"/>
      <c r="X446" s="1874"/>
      <c r="Y446" s="1874"/>
    </row>
    <row r="447" spans="1:27" s="115" customFormat="1">
      <c r="C447" s="68" t="s">
        <v>1934</v>
      </c>
      <c r="D447" s="68"/>
      <c r="E447" s="68"/>
      <c r="F447" s="68"/>
      <c r="G447" s="68"/>
      <c r="H447" s="68"/>
      <c r="I447" s="68"/>
      <c r="J447" s="379" t="s">
        <v>1535</v>
      </c>
      <c r="K447" s="68"/>
      <c r="L447" s="68"/>
      <c r="M447" s="68"/>
      <c r="N447" s="869"/>
      <c r="O447" s="2037"/>
      <c r="P447" s="2037"/>
      <c r="Q447" s="230"/>
      <c r="R447" s="230"/>
      <c r="S447" s="230"/>
      <c r="T447" s="1874"/>
      <c r="U447" s="1874"/>
      <c r="V447" s="1874"/>
      <c r="W447" s="1874"/>
      <c r="X447" s="1874"/>
      <c r="Y447" s="1874"/>
    </row>
    <row r="448" spans="1:27" s="115" customFormat="1">
      <c r="C448" s="68" t="s">
        <v>1935</v>
      </c>
      <c r="D448" s="68"/>
      <c r="E448" s="68"/>
      <c r="F448" s="68"/>
      <c r="G448" s="68"/>
      <c r="H448" s="68"/>
      <c r="I448" s="68"/>
      <c r="J448" s="379" t="s">
        <v>1536</v>
      </c>
      <c r="K448" s="68"/>
      <c r="L448" s="68"/>
      <c r="M448" s="68"/>
      <c r="N448" s="869"/>
      <c r="O448" s="2037"/>
      <c r="P448" s="2037"/>
      <c r="Q448" s="68"/>
    </row>
    <row r="449" spans="3:17" s="115" customFormat="1">
      <c r="C449" s="68" t="s">
        <v>1936</v>
      </c>
      <c r="D449" s="68"/>
      <c r="E449" s="68"/>
      <c r="F449" s="68"/>
      <c r="G449" s="68"/>
      <c r="H449" s="68"/>
      <c r="I449" s="68"/>
      <c r="J449" s="379" t="s">
        <v>2300</v>
      </c>
      <c r="K449" s="68"/>
      <c r="L449" s="68"/>
      <c r="M449" s="68"/>
      <c r="N449" s="869"/>
      <c r="O449" s="2037"/>
      <c r="P449" s="2037"/>
      <c r="Q449" s="68"/>
    </row>
    <row r="450" spans="3:17" s="115" customFormat="1">
      <c r="C450" s="68" t="s">
        <v>1937</v>
      </c>
      <c r="D450" s="68"/>
      <c r="E450" s="68"/>
      <c r="F450" s="68"/>
      <c r="G450" s="68"/>
      <c r="H450" s="68"/>
      <c r="I450" s="68"/>
      <c r="J450" s="379" t="s">
        <v>1537</v>
      </c>
      <c r="K450" s="68"/>
      <c r="L450" s="68"/>
      <c r="M450" s="68"/>
      <c r="N450" s="869"/>
      <c r="O450" s="2037"/>
      <c r="P450" s="2037"/>
      <c r="Q450" s="68"/>
    </row>
    <row r="451" spans="3:17" s="115" customFormat="1">
      <c r="C451" s="68"/>
      <c r="D451" s="68"/>
      <c r="E451" s="68"/>
      <c r="F451" s="68"/>
      <c r="G451" s="68"/>
      <c r="H451" s="68"/>
      <c r="I451" s="68"/>
      <c r="J451" s="379" t="s">
        <v>1538</v>
      </c>
      <c r="K451" s="68"/>
      <c r="L451" s="68"/>
      <c r="M451" s="68"/>
      <c r="N451" s="869"/>
      <c r="O451" s="2037"/>
      <c r="P451" s="2037"/>
      <c r="Q451" s="68"/>
    </row>
    <row r="452" spans="3:17" s="115" customFormat="1">
      <c r="C452" s="68" t="s">
        <v>1641</v>
      </c>
      <c r="D452" s="68"/>
      <c r="E452" s="68"/>
      <c r="F452" s="68"/>
      <c r="G452" s="68"/>
      <c r="H452" s="68"/>
      <c r="I452" s="68"/>
      <c r="J452" s="379" t="s">
        <v>1539</v>
      </c>
      <c r="K452" s="68"/>
      <c r="L452" s="68"/>
      <c r="M452" s="68"/>
      <c r="N452" s="869"/>
      <c r="O452" s="2037"/>
      <c r="P452" s="2037"/>
      <c r="Q452" s="68"/>
    </row>
    <row r="453" spans="3:17" s="115" customFormat="1">
      <c r="C453" s="1342" t="s">
        <v>1310</v>
      </c>
      <c r="D453" s="68"/>
      <c r="E453" s="68"/>
      <c r="F453" s="68"/>
      <c r="G453" s="68"/>
      <c r="H453" s="68"/>
      <c r="I453" s="68"/>
      <c r="J453" s="379" t="s">
        <v>1540</v>
      </c>
      <c r="K453" s="68"/>
      <c r="L453" s="68"/>
      <c r="M453" s="68"/>
      <c r="N453" s="869"/>
      <c r="O453" s="2037"/>
      <c r="P453" s="2037"/>
      <c r="Q453" s="68"/>
    </row>
    <row r="454" spans="3:17" s="115" customFormat="1">
      <c r="C454" s="1342" t="s">
        <v>1311</v>
      </c>
      <c r="D454" s="68"/>
      <c r="E454" s="68"/>
      <c r="F454" s="68"/>
      <c r="G454" s="68"/>
      <c r="H454" s="68"/>
      <c r="I454" s="68"/>
      <c r="J454" s="379" t="s">
        <v>1541</v>
      </c>
      <c r="K454" s="68"/>
      <c r="L454" s="68"/>
      <c r="M454" s="68"/>
      <c r="N454" s="869"/>
      <c r="O454" s="2037"/>
      <c r="P454" s="2037"/>
      <c r="Q454" s="68"/>
    </row>
    <row r="455" spans="3:17" s="115" customFormat="1">
      <c r="C455" s="1342" t="s">
        <v>1975</v>
      </c>
      <c r="D455" s="68"/>
      <c r="E455" s="68"/>
      <c r="F455" s="68"/>
      <c r="G455" s="68"/>
      <c r="H455" s="68"/>
      <c r="I455" s="68"/>
      <c r="J455" s="379" t="s">
        <v>1542</v>
      </c>
      <c r="K455" s="68"/>
      <c r="L455" s="68"/>
      <c r="M455" s="68"/>
      <c r="N455" s="869"/>
      <c r="O455" s="2037"/>
      <c r="P455" s="2037"/>
      <c r="Q455" s="68"/>
    </row>
    <row r="456" spans="3:17" s="115" customFormat="1">
      <c r="C456" s="1342" t="s">
        <v>1307</v>
      </c>
      <c r="D456" s="68"/>
      <c r="E456" s="68"/>
      <c r="F456" s="68"/>
      <c r="G456" s="68"/>
      <c r="H456" s="68"/>
      <c r="I456" s="68"/>
      <c r="J456" s="379" t="s">
        <v>548</v>
      </c>
      <c r="K456" s="68"/>
      <c r="L456" s="68"/>
      <c r="M456" s="68"/>
      <c r="N456" s="869"/>
      <c r="O456" s="2037"/>
      <c r="P456" s="2037"/>
      <c r="Q456" s="68"/>
    </row>
    <row r="457" spans="3:17" s="115" customFormat="1">
      <c r="C457" s="1342" t="s">
        <v>1308</v>
      </c>
      <c r="D457" s="68"/>
      <c r="E457" s="68"/>
      <c r="F457" s="68"/>
      <c r="G457" s="68"/>
      <c r="H457" s="68"/>
      <c r="I457" s="68"/>
      <c r="J457" s="379" t="s">
        <v>1543</v>
      </c>
      <c r="K457" s="68"/>
      <c r="L457" s="68"/>
      <c r="M457" s="68"/>
      <c r="N457" s="869"/>
      <c r="O457" s="2037"/>
      <c r="P457" s="2037"/>
      <c r="Q457" s="68"/>
    </row>
    <row r="458" spans="3:17" s="115" customFormat="1">
      <c r="C458" s="1342" t="s">
        <v>1970</v>
      </c>
      <c r="D458" s="68"/>
      <c r="E458" s="68"/>
      <c r="F458" s="68"/>
      <c r="G458" s="68"/>
      <c r="H458" s="68"/>
      <c r="I458" s="68"/>
      <c r="J458" s="379" t="s">
        <v>1544</v>
      </c>
      <c r="K458" s="68"/>
      <c r="L458" s="68"/>
      <c r="M458" s="68"/>
      <c r="N458" s="869"/>
      <c r="O458" s="2037"/>
      <c r="P458" s="2037"/>
      <c r="Q458" s="68"/>
    </row>
    <row r="459" spans="3:17" s="115" customFormat="1">
      <c r="C459" s="1342" t="s">
        <v>1971</v>
      </c>
      <c r="D459" s="68"/>
      <c r="E459" s="68"/>
      <c r="F459" s="68"/>
      <c r="G459" s="68"/>
      <c r="H459" s="68"/>
      <c r="I459" s="68"/>
      <c r="J459" s="379" t="s">
        <v>1545</v>
      </c>
      <c r="K459" s="68"/>
      <c r="L459" s="68"/>
      <c r="M459" s="68"/>
      <c r="N459" s="869"/>
      <c r="O459" s="2037"/>
      <c r="P459" s="2037"/>
      <c r="Q459" s="68"/>
    </row>
    <row r="460" spans="3:17" s="115" customFormat="1">
      <c r="C460" s="1342" t="s">
        <v>1972</v>
      </c>
      <c r="D460" s="68"/>
      <c r="E460" s="68"/>
      <c r="F460" s="68"/>
      <c r="G460" s="68"/>
      <c r="H460" s="68"/>
      <c r="I460" s="68"/>
      <c r="J460" s="379" t="s">
        <v>32</v>
      </c>
      <c r="K460" s="68"/>
      <c r="L460" s="68"/>
      <c r="M460" s="68"/>
      <c r="N460" s="869"/>
      <c r="O460" s="2037"/>
      <c r="P460" s="2037"/>
      <c r="Q460" s="68"/>
    </row>
    <row r="461" spans="3:17" s="115" customFormat="1">
      <c r="C461" s="1342" t="s">
        <v>1973</v>
      </c>
      <c r="D461" s="68"/>
      <c r="E461" s="68"/>
      <c r="F461" s="68"/>
      <c r="G461" s="68"/>
      <c r="H461" s="68"/>
      <c r="I461" s="68"/>
      <c r="J461" s="68"/>
      <c r="K461" s="68"/>
      <c r="L461" s="68"/>
      <c r="M461" s="68"/>
      <c r="N461" s="869"/>
      <c r="O461" s="2037"/>
      <c r="P461" s="2037"/>
      <c r="Q461" s="68"/>
    </row>
    <row r="462" spans="3:17" s="115" customFormat="1">
      <c r="C462" s="1342" t="s">
        <v>1974</v>
      </c>
      <c r="D462" s="68"/>
      <c r="E462" s="68"/>
      <c r="F462" s="68"/>
      <c r="G462" s="68"/>
      <c r="H462" s="68"/>
      <c r="I462" s="68"/>
      <c r="J462" s="2038" t="s">
        <v>2954</v>
      </c>
      <c r="K462" s="68"/>
      <c r="L462" s="68"/>
      <c r="M462" s="68"/>
      <c r="N462" s="869"/>
      <c r="O462" s="2038" t="s">
        <v>3169</v>
      </c>
      <c r="P462" s="2037"/>
      <c r="Q462" s="68"/>
    </row>
    <row r="463" spans="3:17" s="115" customFormat="1">
      <c r="C463" s="1342" t="s">
        <v>1309</v>
      </c>
      <c r="D463" s="68"/>
      <c r="E463" s="68"/>
      <c r="F463" s="68"/>
      <c r="G463" s="68"/>
      <c r="H463" s="68"/>
      <c r="I463" s="68"/>
      <c r="J463" s="379" t="s">
        <v>2955</v>
      </c>
      <c r="K463" s="68"/>
      <c r="L463" s="68"/>
      <c r="M463" s="68"/>
      <c r="N463" s="869"/>
      <c r="O463" s="2037"/>
      <c r="P463" s="2037"/>
      <c r="Q463" s="68"/>
    </row>
    <row r="464" spans="3:17" s="115" customFormat="1">
      <c r="C464" s="1342" t="s">
        <v>2103</v>
      </c>
      <c r="D464" s="68"/>
      <c r="E464" s="68"/>
      <c r="F464" s="68"/>
      <c r="G464" s="68"/>
      <c r="H464" s="68"/>
      <c r="I464" s="68"/>
      <c r="J464" s="68" t="s">
        <v>2939</v>
      </c>
      <c r="K464" s="68"/>
      <c r="L464" s="68"/>
      <c r="M464" s="68"/>
      <c r="N464" s="869"/>
      <c r="O464" s="2037">
        <v>2</v>
      </c>
      <c r="P464" s="2037"/>
      <c r="Q464" s="68"/>
    </row>
    <row r="465" spans="1:17" s="115" customFormat="1">
      <c r="C465" s="68"/>
      <c r="D465" s="68"/>
      <c r="E465" s="68"/>
      <c r="F465" s="68"/>
      <c r="G465" s="68"/>
      <c r="H465" s="68"/>
      <c r="I465" s="68"/>
      <c r="J465" s="68" t="s">
        <v>2940</v>
      </c>
      <c r="K465" s="68"/>
      <c r="L465" s="68"/>
      <c r="M465" s="68"/>
      <c r="N465" s="869"/>
      <c r="O465" s="2037">
        <v>2</v>
      </c>
      <c r="P465" s="2037"/>
      <c r="Q465" s="68"/>
    </row>
    <row r="466" spans="1:17" s="115" customFormat="1">
      <c r="C466" s="68"/>
      <c r="D466" s="68"/>
      <c r="E466" s="68"/>
      <c r="F466" s="68"/>
      <c r="G466" s="4572" t="s">
        <v>1405</v>
      </c>
      <c r="H466" s="4572"/>
      <c r="I466" s="4572"/>
      <c r="J466" s="68" t="s">
        <v>2941</v>
      </c>
      <c r="K466" s="68"/>
      <c r="L466" s="68"/>
      <c r="M466" s="68"/>
      <c r="N466" s="869"/>
      <c r="O466" s="2037">
        <v>2</v>
      </c>
      <c r="P466" s="2037"/>
      <c r="Q466" s="68"/>
    </row>
    <row r="467" spans="1:17" s="115" customFormat="1">
      <c r="C467" s="68"/>
      <c r="D467" s="68"/>
      <c r="E467" s="68"/>
      <c r="F467" s="68"/>
      <c r="G467" s="1757" t="s">
        <v>3934</v>
      </c>
      <c r="H467" s="68" t="s">
        <v>3935</v>
      </c>
      <c r="I467" s="1757" t="s">
        <v>3933</v>
      </c>
      <c r="J467" s="68" t="s">
        <v>2942</v>
      </c>
      <c r="K467" s="68"/>
      <c r="L467" s="1757"/>
      <c r="M467" s="68"/>
      <c r="N467" s="869"/>
      <c r="O467" s="2037">
        <v>2</v>
      </c>
      <c r="P467" s="2037"/>
      <c r="Q467" s="68"/>
    </row>
    <row r="468" spans="1:17" s="115" customFormat="1">
      <c r="C468" s="502"/>
      <c r="D468" s="68"/>
      <c r="E468" s="68"/>
      <c r="F468" s="68"/>
      <c r="G468" s="1423" t="s">
        <v>2314</v>
      </c>
      <c r="H468" s="68"/>
      <c r="I468" s="1423"/>
      <c r="J468" s="68" t="s">
        <v>3167</v>
      </c>
      <c r="K468" s="68"/>
      <c r="L468" s="1423"/>
      <c r="M468" s="68"/>
      <c r="N468" s="869"/>
      <c r="O468" s="2037">
        <v>2</v>
      </c>
      <c r="P468" s="2037"/>
      <c r="Q468" s="68"/>
    </row>
    <row r="469" spans="1:17" s="115" customFormat="1">
      <c r="C469" s="502"/>
      <c r="D469" s="68"/>
      <c r="E469" s="68"/>
      <c r="F469" s="68"/>
      <c r="G469" s="1423" t="s">
        <v>435</v>
      </c>
      <c r="H469" s="869" t="s">
        <v>3937</v>
      </c>
      <c r="I469" s="1757" t="s">
        <v>2446</v>
      </c>
      <c r="J469" s="68" t="s">
        <v>2943</v>
      </c>
      <c r="K469" s="68"/>
      <c r="L469" s="502"/>
      <c r="M469" s="68"/>
      <c r="N469" s="869"/>
      <c r="O469" s="2037">
        <v>1</v>
      </c>
      <c r="P469" s="2037"/>
      <c r="Q469" s="68"/>
    </row>
    <row r="470" spans="1:17" s="115" customFormat="1">
      <c r="C470" s="502"/>
      <c r="D470" s="68"/>
      <c r="E470" s="68"/>
      <c r="F470" s="68"/>
      <c r="G470" s="1423" t="s">
        <v>1652</v>
      </c>
      <c r="H470" s="869">
        <v>2020</v>
      </c>
      <c r="I470" s="869" t="s">
        <v>3936</v>
      </c>
      <c r="J470" s="68" t="s">
        <v>2944</v>
      </c>
      <c r="K470" s="68"/>
      <c r="L470" s="502"/>
      <c r="M470" s="68"/>
      <c r="N470" s="869"/>
      <c r="O470" s="2037">
        <v>1</v>
      </c>
      <c r="P470" s="2037"/>
      <c r="Q470" s="68"/>
    </row>
    <row r="471" spans="1:17" s="115" customFormat="1">
      <c r="C471" s="502"/>
      <c r="D471" s="68"/>
      <c r="E471" s="68"/>
      <c r="F471" s="68"/>
      <c r="G471" s="1423" t="s">
        <v>2345</v>
      </c>
      <c r="H471" s="869" t="s">
        <v>1607</v>
      </c>
      <c r="I471" s="1757" t="s">
        <v>2446</v>
      </c>
      <c r="J471" s="68" t="s">
        <v>2945</v>
      </c>
      <c r="K471" s="68"/>
      <c r="L471" s="502"/>
      <c r="M471" s="68"/>
      <c r="N471" s="869"/>
      <c r="O471" s="2037">
        <v>1</v>
      </c>
      <c r="P471" s="2037"/>
      <c r="Q471" s="68"/>
    </row>
    <row r="472" spans="1:17" s="115" customFormat="1">
      <c r="C472" s="502"/>
      <c r="D472" s="68"/>
      <c r="E472" s="68"/>
      <c r="F472" s="68"/>
      <c r="G472" s="1423" t="s">
        <v>970</v>
      </c>
      <c r="H472" s="869">
        <v>2020</v>
      </c>
      <c r="I472" s="869" t="s">
        <v>3936</v>
      </c>
      <c r="J472" s="68" t="s">
        <v>3168</v>
      </c>
      <c r="K472" s="68"/>
      <c r="L472" s="502"/>
      <c r="M472" s="68"/>
      <c r="N472" s="869"/>
      <c r="O472" s="2037">
        <v>1</v>
      </c>
      <c r="P472" s="2037"/>
      <c r="Q472" s="68"/>
    </row>
    <row r="473" spans="1:17" s="115" customFormat="1">
      <c r="C473" s="502"/>
      <c r="D473" s="68"/>
      <c r="E473" s="68"/>
      <c r="F473" s="68"/>
      <c r="G473" s="1423" t="s">
        <v>3190</v>
      </c>
      <c r="H473" s="869">
        <v>2019</v>
      </c>
      <c r="I473" s="869" t="s">
        <v>3936</v>
      </c>
      <c r="J473" s="68" t="s">
        <v>2953</v>
      </c>
      <c r="K473" s="68"/>
      <c r="L473" s="502"/>
      <c r="M473" s="68"/>
      <c r="N473" s="869"/>
      <c r="O473" s="2037">
        <v>1</v>
      </c>
      <c r="P473" s="2037"/>
      <c r="Q473" s="68"/>
    </row>
    <row r="474" spans="1:17" s="115" customFormat="1">
      <c r="C474" s="502"/>
      <c r="D474" s="68"/>
      <c r="E474" s="68"/>
      <c r="F474" s="68"/>
      <c r="G474" s="1423" t="s">
        <v>340</v>
      </c>
      <c r="H474" s="869" t="s">
        <v>1607</v>
      </c>
      <c r="I474" s="1757" t="s">
        <v>2446</v>
      </c>
      <c r="J474" s="68" t="s">
        <v>2946</v>
      </c>
      <c r="K474" s="68"/>
      <c r="L474" s="502"/>
      <c r="M474" s="68"/>
      <c r="N474" s="869"/>
      <c r="O474" s="2037">
        <v>1</v>
      </c>
      <c r="P474" s="2037"/>
      <c r="Q474" s="68"/>
    </row>
    <row r="475" spans="1:17" s="115" customFormat="1">
      <c r="C475" s="502"/>
      <c r="D475" s="68"/>
      <c r="E475" s="68"/>
      <c r="F475" s="68"/>
      <c r="G475" s="1423" t="s">
        <v>1630</v>
      </c>
      <c r="H475" s="869">
        <v>2020</v>
      </c>
      <c r="I475" s="869" t="s">
        <v>3936</v>
      </c>
      <c r="J475" s="68" t="s">
        <v>2947</v>
      </c>
      <c r="K475" s="68"/>
      <c r="L475" s="502"/>
      <c r="M475" s="68"/>
      <c r="N475" s="869"/>
      <c r="O475" s="2037">
        <v>1</v>
      </c>
      <c r="P475" s="2037"/>
      <c r="Q475" s="68"/>
    </row>
    <row r="476" spans="1:17" s="115" customFormat="1">
      <c r="C476" s="502"/>
      <c r="D476" s="68"/>
      <c r="E476" s="68"/>
      <c r="F476" s="68"/>
      <c r="G476" s="1423" t="s">
        <v>1904</v>
      </c>
      <c r="H476" s="869" t="s">
        <v>3937</v>
      </c>
      <c r="I476" s="1757" t="s">
        <v>2446</v>
      </c>
      <c r="J476" s="68" t="s">
        <v>2948</v>
      </c>
      <c r="K476" s="68"/>
      <c r="L476" s="502"/>
      <c r="M476" s="68"/>
      <c r="N476" s="869"/>
      <c r="O476" s="2037">
        <v>1</v>
      </c>
      <c r="P476" s="2037"/>
      <c r="Q476" s="68"/>
    </row>
    <row r="477" spans="1:17" s="115" customFormat="1">
      <c r="C477" s="68"/>
      <c r="D477" s="68"/>
      <c r="E477" s="68"/>
      <c r="F477" s="68"/>
      <c r="G477" s="1423" t="s">
        <v>82</v>
      </c>
      <c r="H477" s="869" t="s">
        <v>3937</v>
      </c>
      <c r="I477" s="1757" t="s">
        <v>2446</v>
      </c>
      <c r="J477" s="68" t="s">
        <v>2949</v>
      </c>
      <c r="K477" s="68"/>
      <c r="L477" s="502"/>
      <c r="M477" s="68"/>
      <c r="N477" s="869"/>
      <c r="O477" s="2037">
        <v>1</v>
      </c>
      <c r="P477" s="2037"/>
      <c r="Q477" s="68"/>
    </row>
    <row r="478" spans="1:17" s="115" customFormat="1">
      <c r="C478" s="68"/>
      <c r="D478" s="68"/>
      <c r="E478" s="68"/>
      <c r="F478" s="68"/>
      <c r="G478" s="1423" t="s">
        <v>836</v>
      </c>
      <c r="H478" s="869">
        <v>2019</v>
      </c>
      <c r="I478" s="869" t="s">
        <v>3936</v>
      </c>
      <c r="J478" s="68" t="s">
        <v>2952</v>
      </c>
      <c r="K478" s="68"/>
      <c r="L478" s="502"/>
      <c r="M478" s="68"/>
      <c r="N478" s="869"/>
      <c r="O478" s="2037">
        <v>1</v>
      </c>
      <c r="P478" s="2037"/>
      <c r="Q478" s="68"/>
    </row>
    <row r="479" spans="1:17" s="115" customFormat="1">
      <c r="A479" s="44" t="s">
        <v>2491</v>
      </c>
      <c r="C479" s="68"/>
      <c r="D479" s="68"/>
      <c r="E479" s="68"/>
      <c r="F479" s="68"/>
      <c r="G479" s="1423" t="s">
        <v>1981</v>
      </c>
      <c r="H479" s="869" t="s">
        <v>3937</v>
      </c>
      <c r="I479" s="1757" t="s">
        <v>2446</v>
      </c>
      <c r="J479" s="68" t="s">
        <v>2950</v>
      </c>
      <c r="K479" s="68"/>
      <c r="L479" s="502"/>
      <c r="M479" s="68"/>
      <c r="N479" s="869"/>
      <c r="O479" s="2037">
        <v>1</v>
      </c>
      <c r="P479" s="2037"/>
      <c r="Q479" s="68"/>
    </row>
    <row r="480" spans="1:17" s="115" customFormat="1">
      <c r="A480" s="44" t="s">
        <v>2506</v>
      </c>
      <c r="C480" s="68"/>
      <c r="D480" s="68"/>
      <c r="E480" s="68"/>
      <c r="F480" s="68"/>
      <c r="G480" s="1423" t="s">
        <v>1902</v>
      </c>
      <c r="H480" s="869">
        <v>2019</v>
      </c>
      <c r="I480" s="869" t="s">
        <v>3936</v>
      </c>
      <c r="J480" s="68" t="s">
        <v>2951</v>
      </c>
      <c r="K480" s="68"/>
      <c r="L480" s="502"/>
      <c r="M480" s="68"/>
      <c r="N480" s="869"/>
      <c r="O480" s="2037">
        <v>1</v>
      </c>
      <c r="P480" s="2037"/>
      <c r="Q480" s="68"/>
    </row>
    <row r="481" spans="1:17" s="115" customFormat="1">
      <c r="A481" s="108" t="s">
        <v>2933</v>
      </c>
      <c r="C481" s="68"/>
      <c r="D481" s="502"/>
      <c r="E481" s="502">
        <v>3</v>
      </c>
      <c r="F481" s="68"/>
      <c r="G481" s="1423" t="s">
        <v>322</v>
      </c>
      <c r="H481" s="869">
        <v>2019</v>
      </c>
      <c r="I481" s="869" t="s">
        <v>3936</v>
      </c>
      <c r="J481" s="68"/>
      <c r="K481" s="68"/>
      <c r="L481" s="502"/>
      <c r="M481" s="68"/>
      <c r="N481" s="869"/>
      <c r="O481" s="2037"/>
      <c r="P481" s="2037"/>
      <c r="Q481" s="68"/>
    </row>
    <row r="482" spans="1:17" s="115" customFormat="1">
      <c r="A482" s="108" t="s">
        <v>2934</v>
      </c>
      <c r="C482" s="68"/>
      <c r="D482" s="502"/>
      <c r="E482" s="502">
        <v>2</v>
      </c>
      <c r="F482" s="68"/>
      <c r="G482" s="1423" t="s">
        <v>814</v>
      </c>
      <c r="H482" s="869">
        <v>2019</v>
      </c>
      <c r="I482" s="869" t="s">
        <v>3936</v>
      </c>
      <c r="J482" s="68"/>
      <c r="K482" s="68"/>
      <c r="L482" s="502"/>
      <c r="M482" s="68"/>
      <c r="N482" s="869"/>
      <c r="O482" s="2037"/>
      <c r="P482" s="2037"/>
      <c r="Q482" s="68"/>
    </row>
    <row r="483" spans="1:17" s="115" customFormat="1">
      <c r="A483" s="108" t="s">
        <v>2935</v>
      </c>
      <c r="C483" s="68"/>
      <c r="D483" s="502"/>
      <c r="E483" s="502">
        <v>10</v>
      </c>
      <c r="F483" s="68"/>
      <c r="G483" s="1423" t="s">
        <v>1784</v>
      </c>
      <c r="H483" s="869">
        <v>2019</v>
      </c>
      <c r="I483" s="869" t="s">
        <v>3936</v>
      </c>
      <c r="J483" s="399" t="s">
        <v>3178</v>
      </c>
      <c r="K483" s="68"/>
      <c r="L483" s="502"/>
      <c r="M483" s="68"/>
      <c r="N483" s="869"/>
      <c r="O483" s="2037"/>
      <c r="P483" s="2037"/>
      <c r="Q483" s="68"/>
    </row>
    <row r="484" spans="1:17" s="115" customFormat="1">
      <c r="A484" s="108" t="s">
        <v>2507</v>
      </c>
      <c r="C484" s="68"/>
      <c r="D484" s="502"/>
      <c r="E484" s="502"/>
      <c r="F484" s="68"/>
      <c r="G484" s="1423" t="s">
        <v>394</v>
      </c>
      <c r="H484" s="869">
        <v>2019</v>
      </c>
      <c r="I484" s="869" t="s">
        <v>3936</v>
      </c>
      <c r="J484" s="68" t="s">
        <v>3250</v>
      </c>
      <c r="K484" s="68"/>
      <c r="L484" s="502"/>
      <c r="M484" s="68"/>
      <c r="N484" s="869"/>
      <c r="O484" s="2037"/>
      <c r="P484" s="2037"/>
      <c r="Q484" s="68"/>
    </row>
    <row r="485" spans="1:17" s="115" customFormat="1">
      <c r="C485" s="502"/>
      <c r="D485" s="68"/>
      <c r="E485" s="68"/>
      <c r="F485" s="68"/>
      <c r="G485" s="1423" t="s">
        <v>920</v>
      </c>
      <c r="H485" s="869">
        <v>2020</v>
      </c>
      <c r="I485" s="869" t="s">
        <v>3936</v>
      </c>
      <c r="J485" s="68" t="s">
        <v>3245</v>
      </c>
      <c r="K485" s="68"/>
      <c r="L485" s="502"/>
      <c r="M485" s="68"/>
      <c r="N485" s="869"/>
      <c r="O485" s="2037"/>
      <c r="P485" s="2037"/>
      <c r="Q485" s="68"/>
    </row>
    <row r="486" spans="1:17" s="115" customFormat="1">
      <c r="C486" s="502"/>
      <c r="D486" s="68"/>
      <c r="E486" s="68"/>
      <c r="F486" s="68"/>
      <c r="G486" s="1423" t="s">
        <v>531</v>
      </c>
      <c r="H486" s="869">
        <v>2020</v>
      </c>
      <c r="I486" s="869" t="s">
        <v>3936</v>
      </c>
      <c r="J486" s="68" t="s">
        <v>3171</v>
      </c>
      <c r="K486" s="68"/>
      <c r="L486" s="502"/>
      <c r="M486" s="68"/>
      <c r="N486" s="869"/>
      <c r="O486" s="2037"/>
      <c r="P486" s="2037"/>
      <c r="Q486" s="68"/>
    </row>
    <row r="487" spans="1:17" s="115" customFormat="1">
      <c r="C487" s="502"/>
      <c r="D487" s="68"/>
      <c r="E487" s="68"/>
      <c r="F487" s="68"/>
      <c r="G487" s="1423" t="s">
        <v>808</v>
      </c>
      <c r="H487" s="869" t="s">
        <v>3937</v>
      </c>
      <c r="I487" s="1757" t="s">
        <v>2446</v>
      </c>
      <c r="J487" s="68" t="s">
        <v>3241</v>
      </c>
      <c r="K487" s="68"/>
      <c r="L487" s="502"/>
      <c r="M487" s="68"/>
      <c r="N487" s="869"/>
      <c r="O487" s="2037"/>
      <c r="P487" s="2037"/>
      <c r="Q487" s="68"/>
    </row>
    <row r="488" spans="1:17" s="115" customFormat="1">
      <c r="C488" s="502"/>
      <c r="D488" s="68"/>
      <c r="E488" s="68"/>
      <c r="F488" s="68"/>
      <c r="G488" s="1423" t="s">
        <v>2936</v>
      </c>
      <c r="H488" s="869">
        <v>2019</v>
      </c>
      <c r="I488" s="869" t="s">
        <v>3936</v>
      </c>
      <c r="J488" s="68" t="s">
        <v>3172</v>
      </c>
      <c r="K488" s="68"/>
      <c r="L488" s="502"/>
      <c r="M488" s="68"/>
      <c r="N488" s="869"/>
      <c r="O488" s="2037"/>
      <c r="P488" s="2037"/>
      <c r="Q488" s="68"/>
    </row>
    <row r="489" spans="1:17" s="115" customFormat="1">
      <c r="C489" s="68"/>
      <c r="D489" s="68"/>
      <c r="E489" s="68"/>
      <c r="F489" s="68"/>
      <c r="G489" s="1423" t="s">
        <v>763</v>
      </c>
      <c r="H489" s="869">
        <v>2019</v>
      </c>
      <c r="I489" s="869" t="s">
        <v>3936</v>
      </c>
      <c r="J489" s="68" t="s">
        <v>3242</v>
      </c>
      <c r="K489" s="68"/>
      <c r="L489" s="502"/>
      <c r="M489" s="68"/>
      <c r="N489" s="869"/>
      <c r="O489" s="2037"/>
      <c r="P489" s="2037"/>
      <c r="Q489" s="68"/>
    </row>
    <row r="490" spans="1:17" s="115" customFormat="1">
      <c r="C490" s="68"/>
      <c r="D490" s="68"/>
      <c r="E490" s="68"/>
      <c r="F490" s="68"/>
      <c r="G490" s="1423" t="s">
        <v>172</v>
      </c>
      <c r="H490" s="869">
        <v>2019</v>
      </c>
      <c r="I490" s="869" t="s">
        <v>3936</v>
      </c>
      <c r="J490" s="68" t="s">
        <v>3173</v>
      </c>
      <c r="K490" s="68"/>
      <c r="L490" s="68"/>
      <c r="M490" s="68"/>
      <c r="N490" s="869"/>
      <c r="O490" s="2037"/>
      <c r="P490" s="2037"/>
      <c r="Q490" s="68"/>
    </row>
    <row r="491" spans="1:17" s="115" customFormat="1">
      <c r="C491" s="68"/>
      <c r="D491" s="68"/>
      <c r="E491" s="68"/>
      <c r="F491" s="68"/>
      <c r="G491" s="1423" t="s">
        <v>3259</v>
      </c>
      <c r="H491" s="869" t="s">
        <v>3937</v>
      </c>
      <c r="I491" s="1757" t="s">
        <v>2446</v>
      </c>
      <c r="J491" s="68" t="s">
        <v>3243</v>
      </c>
      <c r="K491" s="68"/>
      <c r="L491" s="502"/>
      <c r="M491" s="68"/>
      <c r="N491" s="869"/>
      <c r="O491" s="2037"/>
      <c r="P491" s="2037"/>
      <c r="Q491" s="68"/>
    </row>
    <row r="492" spans="1:17" s="115" customFormat="1">
      <c r="C492" s="68"/>
      <c r="D492" s="68"/>
      <c r="E492" s="68"/>
      <c r="F492" s="68"/>
      <c r="G492" s="1423" t="s">
        <v>506</v>
      </c>
      <c r="H492" s="869">
        <v>2020</v>
      </c>
      <c r="I492" s="869" t="s">
        <v>3936</v>
      </c>
      <c r="J492" s="68" t="s">
        <v>3246</v>
      </c>
      <c r="K492" s="68"/>
      <c r="L492" s="502"/>
      <c r="M492" s="68"/>
      <c r="N492" s="869"/>
      <c r="O492" s="2037"/>
      <c r="P492" s="2037"/>
      <c r="Q492" s="68"/>
    </row>
    <row r="493" spans="1:17" s="115" customFormat="1">
      <c r="C493" s="68"/>
      <c r="D493" s="68"/>
      <c r="E493" s="68"/>
      <c r="F493" s="68"/>
      <c r="G493" s="1423" t="s">
        <v>375</v>
      </c>
      <c r="H493" s="869">
        <v>2020</v>
      </c>
      <c r="I493" s="869" t="s">
        <v>3936</v>
      </c>
      <c r="J493" s="68" t="s">
        <v>3249</v>
      </c>
      <c r="K493" s="68"/>
      <c r="L493" s="68"/>
      <c r="M493" s="68"/>
      <c r="N493" s="869"/>
      <c r="O493" s="2037"/>
      <c r="P493" s="2037"/>
      <c r="Q493" s="68"/>
    </row>
    <row r="494" spans="1:17" s="115" customFormat="1">
      <c r="C494" s="68"/>
      <c r="D494" s="685"/>
      <c r="E494" s="68"/>
      <c r="F494" s="68"/>
      <c r="G494" s="1423" t="s">
        <v>1347</v>
      </c>
      <c r="H494" s="869" t="s">
        <v>3937</v>
      </c>
      <c r="I494" s="1757" t="s">
        <v>2446</v>
      </c>
      <c r="J494" s="68" t="s">
        <v>3174</v>
      </c>
      <c r="K494" s="68"/>
      <c r="L494" s="502"/>
      <c r="M494" s="68"/>
      <c r="N494" s="869"/>
      <c r="O494" s="2037"/>
      <c r="P494" s="2037"/>
      <c r="Q494" s="68"/>
    </row>
    <row r="495" spans="1:17" s="115" customFormat="1">
      <c r="C495" s="68"/>
      <c r="D495" s="685"/>
      <c r="E495" s="68"/>
      <c r="F495" s="68"/>
      <c r="G495" s="1423" t="s">
        <v>1702</v>
      </c>
      <c r="H495" s="869" t="s">
        <v>3937</v>
      </c>
      <c r="I495" s="1757" t="s">
        <v>2446</v>
      </c>
      <c r="J495" s="68" t="s">
        <v>3175</v>
      </c>
      <c r="K495" s="68"/>
      <c r="L495" s="502"/>
      <c r="M495" s="68"/>
      <c r="N495" s="869"/>
      <c r="O495" s="2037"/>
      <c r="P495" s="2037"/>
      <c r="Q495" s="68"/>
    </row>
    <row r="496" spans="1:17" s="115" customFormat="1">
      <c r="C496" s="68"/>
      <c r="D496" s="68"/>
      <c r="E496" s="68"/>
      <c r="F496" s="68"/>
      <c r="G496" s="1423" t="s">
        <v>1964</v>
      </c>
      <c r="H496" s="869">
        <v>2020</v>
      </c>
      <c r="I496" s="869" t="s">
        <v>3936</v>
      </c>
      <c r="J496" s="68" t="s">
        <v>3244</v>
      </c>
      <c r="K496" s="68"/>
      <c r="L496" s="502"/>
      <c r="M496" s="68"/>
      <c r="N496" s="869"/>
      <c r="O496" s="2037"/>
      <c r="P496" s="2037"/>
      <c r="Q496" s="68"/>
    </row>
    <row r="497" spans="3:17" s="115" customFormat="1">
      <c r="C497" s="68"/>
      <c r="D497" s="68"/>
      <c r="E497" s="68"/>
      <c r="F497" s="68"/>
      <c r="G497" s="1423" t="s">
        <v>1350</v>
      </c>
      <c r="H497" s="869">
        <v>2019</v>
      </c>
      <c r="I497" s="869" t="s">
        <v>3936</v>
      </c>
      <c r="J497" s="68" t="s">
        <v>3247</v>
      </c>
      <c r="K497" s="68"/>
      <c r="L497" s="68"/>
      <c r="M497" s="68"/>
      <c r="N497" s="869"/>
      <c r="O497" s="2037"/>
      <c r="P497" s="2037"/>
      <c r="Q497" s="68"/>
    </row>
    <row r="498" spans="3:17" s="115" customFormat="1">
      <c r="C498" s="68"/>
      <c r="D498" s="68"/>
      <c r="E498" s="68"/>
      <c r="F498" s="68"/>
      <c r="G498" s="1423" t="s">
        <v>235</v>
      </c>
      <c r="H498" s="869">
        <v>2019</v>
      </c>
      <c r="I498" s="869" t="s">
        <v>3936</v>
      </c>
      <c r="J498" s="68" t="s">
        <v>3248</v>
      </c>
      <c r="K498" s="68"/>
      <c r="L498" s="502"/>
      <c r="M498" s="68"/>
      <c r="N498" s="869"/>
      <c r="O498" s="2037"/>
      <c r="P498" s="2037"/>
      <c r="Q498" s="68"/>
    </row>
    <row r="499" spans="3:17" s="115" customFormat="1">
      <c r="C499" s="68"/>
      <c r="D499" s="68"/>
      <c r="E499" s="68"/>
      <c r="F499" s="68"/>
      <c r="G499" s="1423" t="s">
        <v>977</v>
      </c>
      <c r="H499" s="869">
        <v>2020</v>
      </c>
      <c r="I499" s="869" t="s">
        <v>3936</v>
      </c>
      <c r="J499" s="68" t="s">
        <v>3176</v>
      </c>
      <c r="K499" s="68"/>
      <c r="L499" s="502"/>
      <c r="M499" s="68"/>
      <c r="N499" s="869"/>
      <c r="O499" s="2037"/>
      <c r="P499" s="2037"/>
      <c r="Q499" s="68"/>
    </row>
    <row r="500" spans="3:17" s="115" customFormat="1">
      <c r="C500" s="685"/>
      <c r="D500" s="68"/>
      <c r="E500" s="68"/>
      <c r="F500" s="68"/>
      <c r="G500" s="1423" t="s">
        <v>2091</v>
      </c>
      <c r="H500" s="869">
        <v>2020</v>
      </c>
      <c r="I500" s="869" t="s">
        <v>3936</v>
      </c>
      <c r="J500" s="68" t="s">
        <v>3177</v>
      </c>
      <c r="K500" s="68"/>
      <c r="L500" s="502"/>
      <c r="M500" s="68"/>
      <c r="N500" s="869"/>
      <c r="O500" s="2037"/>
      <c r="P500" s="2037"/>
      <c r="Q500" s="68"/>
    </row>
    <row r="501" spans="3:17" s="115" customFormat="1">
      <c r="C501" s="685"/>
      <c r="D501" s="68"/>
      <c r="E501" s="68"/>
      <c r="F501" s="68"/>
      <c r="G501" s="1423" t="s">
        <v>3931</v>
      </c>
      <c r="H501" s="869" t="s">
        <v>3937</v>
      </c>
      <c r="I501" s="1757" t="s">
        <v>2446</v>
      </c>
      <c r="J501" s="68"/>
      <c r="K501" s="68"/>
      <c r="L501" s="502"/>
      <c r="M501" s="68"/>
      <c r="N501" s="869"/>
      <c r="O501" s="2037"/>
      <c r="P501" s="2037"/>
      <c r="Q501" s="68"/>
    </row>
    <row r="502" spans="3:17" s="115" customFormat="1">
      <c r="C502" s="685"/>
      <c r="D502" s="68"/>
      <c r="E502" s="68"/>
      <c r="F502" s="68"/>
      <c r="G502" s="1423" t="s">
        <v>1744</v>
      </c>
      <c r="H502" s="869" t="s">
        <v>3937</v>
      </c>
      <c r="I502" s="1757" t="s">
        <v>2446</v>
      </c>
      <c r="J502" s="68"/>
      <c r="K502" s="68"/>
      <c r="L502" s="502"/>
      <c r="M502" s="68"/>
      <c r="N502" s="869"/>
      <c r="O502" s="2037"/>
      <c r="P502" s="2037"/>
      <c r="Q502" s="68"/>
    </row>
    <row r="503" spans="3:17" s="115" customFormat="1">
      <c r="C503" s="685"/>
      <c r="D503" s="68"/>
      <c r="E503" s="68"/>
      <c r="F503" s="68"/>
      <c r="G503" s="1423" t="s">
        <v>471</v>
      </c>
      <c r="H503" s="869" t="s">
        <v>3937</v>
      </c>
      <c r="I503" s="1757" t="s">
        <v>2446</v>
      </c>
      <c r="J503" s="68"/>
      <c r="K503" s="68"/>
      <c r="L503" s="502"/>
      <c r="M503" s="68"/>
      <c r="N503" s="869"/>
      <c r="O503" s="2037"/>
      <c r="P503" s="2037"/>
      <c r="Q503" s="68"/>
    </row>
    <row r="504" spans="3:17" s="115" customFormat="1">
      <c r="C504" s="685"/>
      <c r="D504" s="68"/>
      <c r="E504" s="68"/>
      <c r="F504" s="68"/>
      <c r="G504" s="1423" t="s">
        <v>1946</v>
      </c>
      <c r="H504" s="869" t="s">
        <v>3937</v>
      </c>
      <c r="I504" s="1757" t="s">
        <v>2446</v>
      </c>
      <c r="J504" s="68"/>
      <c r="K504" s="68"/>
      <c r="L504" s="502"/>
      <c r="M504" s="68"/>
      <c r="N504" s="869"/>
      <c r="O504" s="2037"/>
      <c r="P504" s="2037"/>
      <c r="Q504" s="68"/>
    </row>
    <row r="505" spans="3:17" s="115" customFormat="1">
      <c r="C505" s="685"/>
      <c r="D505" s="68"/>
      <c r="E505" s="68"/>
      <c r="F505" s="68"/>
      <c r="G505" s="1423" t="s">
        <v>2083</v>
      </c>
      <c r="H505" s="869">
        <v>2020</v>
      </c>
      <c r="I505" s="869" t="s">
        <v>3936</v>
      </c>
      <c r="J505" s="68"/>
      <c r="K505" s="68"/>
      <c r="L505" s="502"/>
      <c r="M505" s="68"/>
      <c r="N505" s="869"/>
      <c r="O505" s="2037"/>
      <c r="P505" s="2037"/>
      <c r="Q505" s="68"/>
    </row>
    <row r="506" spans="3:17" s="115" customFormat="1">
      <c r="C506" s="685"/>
      <c r="D506" s="68"/>
      <c r="E506" s="68"/>
      <c r="F506" s="68"/>
      <c r="G506" s="1423" t="s">
        <v>1969</v>
      </c>
      <c r="H506" s="869">
        <v>2020</v>
      </c>
      <c r="I506" s="869" t="s">
        <v>3936</v>
      </c>
      <c r="J506" s="68"/>
      <c r="K506" s="68"/>
      <c r="L506" s="68"/>
      <c r="M506" s="68"/>
      <c r="N506" s="869"/>
      <c r="O506" s="2037"/>
      <c r="P506" s="2037"/>
      <c r="Q506" s="68"/>
    </row>
    <row r="507" spans="3:17" s="115" customFormat="1">
      <c r="C507" s="68"/>
      <c r="D507" s="68"/>
      <c r="E507" s="68"/>
      <c r="F507" s="68"/>
      <c r="G507" s="1423" t="s">
        <v>2148</v>
      </c>
      <c r="H507" s="869">
        <v>2019</v>
      </c>
      <c r="I507" s="869" t="s">
        <v>3936</v>
      </c>
      <c r="J507" s="68"/>
      <c r="K507" s="68"/>
      <c r="L507" s="68"/>
      <c r="M507" s="68"/>
      <c r="N507" s="869"/>
      <c r="O507" s="2037"/>
      <c r="P507" s="2037"/>
      <c r="Q507" s="68"/>
    </row>
    <row r="508" spans="3:17" s="115" customFormat="1">
      <c r="C508" s="68"/>
      <c r="D508" s="68"/>
      <c r="E508" s="68"/>
      <c r="F508" s="68"/>
      <c r="G508" s="1423" t="s">
        <v>3932</v>
      </c>
      <c r="H508" s="68"/>
      <c r="I508" s="68"/>
      <c r="J508" s="68"/>
      <c r="K508" s="68"/>
      <c r="L508" s="68"/>
      <c r="M508" s="68"/>
      <c r="N508" s="869"/>
      <c r="O508" s="2037"/>
      <c r="P508" s="2037"/>
      <c r="Q508" s="68"/>
    </row>
    <row r="509" spans="3:17" s="115" customFormat="1">
      <c r="C509" s="68"/>
      <c r="D509" s="68"/>
      <c r="E509" s="68"/>
      <c r="F509" s="68"/>
      <c r="G509" s="1423" t="s">
        <v>1572</v>
      </c>
      <c r="H509" s="869">
        <v>2019</v>
      </c>
      <c r="I509" s="869" t="s">
        <v>3936</v>
      </c>
      <c r="J509" s="68"/>
      <c r="K509" s="68"/>
      <c r="L509" s="68"/>
      <c r="M509" s="68"/>
      <c r="N509" s="869"/>
      <c r="O509" s="2037"/>
      <c r="P509" s="2037"/>
      <c r="Q509" s="68"/>
    </row>
    <row r="510" spans="3:17" s="115" customFormat="1">
      <c r="C510" s="68"/>
      <c r="D510" s="68"/>
      <c r="E510" s="68"/>
      <c r="F510" s="68"/>
      <c r="G510" s="1423" t="s">
        <v>1575</v>
      </c>
      <c r="H510" s="869">
        <v>2020</v>
      </c>
      <c r="I510" s="869" t="s">
        <v>3936</v>
      </c>
      <c r="J510" s="68"/>
      <c r="K510" s="68"/>
      <c r="L510" s="68"/>
      <c r="M510" s="68"/>
      <c r="N510" s="869"/>
      <c r="O510" s="2037"/>
      <c r="P510" s="2037"/>
      <c r="Q510" s="68"/>
    </row>
    <row r="511" spans="3:17" s="115" customFormat="1">
      <c r="C511" s="68"/>
      <c r="D511" s="68"/>
      <c r="E511" s="68"/>
      <c r="F511" s="68"/>
      <c r="G511" s="1423" t="s">
        <v>1580</v>
      </c>
      <c r="H511" s="869">
        <v>2020</v>
      </c>
      <c r="I511" s="869" t="s">
        <v>3936</v>
      </c>
      <c r="J511" s="68"/>
      <c r="K511" s="68"/>
      <c r="L511" s="68"/>
      <c r="M511" s="68"/>
      <c r="N511" s="869"/>
      <c r="O511" s="2037"/>
      <c r="P511" s="2037"/>
      <c r="Q511" s="68"/>
    </row>
    <row r="512" spans="3:17" s="115" customFormat="1">
      <c r="C512" s="68"/>
      <c r="D512" s="68"/>
      <c r="E512" s="68"/>
      <c r="F512" s="68"/>
      <c r="G512" s="1423" t="s">
        <v>1588</v>
      </c>
      <c r="H512" s="869">
        <v>2020</v>
      </c>
      <c r="I512" s="869" t="s">
        <v>3936</v>
      </c>
      <c r="J512" s="68"/>
      <c r="K512" s="68"/>
      <c r="L512" s="68"/>
      <c r="M512" s="68"/>
      <c r="N512" s="869"/>
      <c r="O512" s="2037"/>
      <c r="P512" s="2037"/>
      <c r="Q512" s="68"/>
    </row>
    <row r="513" spans="3:17" s="115" customFormat="1">
      <c r="C513" s="68"/>
      <c r="D513" s="68"/>
      <c r="E513" s="68"/>
      <c r="F513" s="68"/>
      <c r="G513" s="1423" t="s">
        <v>1589</v>
      </c>
      <c r="H513" s="869">
        <v>2019</v>
      </c>
      <c r="I513" s="869" t="s">
        <v>3936</v>
      </c>
      <c r="J513" s="68"/>
      <c r="K513" s="68"/>
      <c r="L513" s="68"/>
      <c r="M513" s="68"/>
      <c r="N513" s="869"/>
      <c r="O513" s="2037"/>
      <c r="P513" s="2037"/>
      <c r="Q513" s="68"/>
    </row>
    <row r="514" spans="3:17" s="115" customFormat="1">
      <c r="C514" s="68"/>
      <c r="D514" s="68"/>
      <c r="E514" s="68"/>
      <c r="F514" s="68"/>
      <c r="G514" s="1423" t="s">
        <v>100</v>
      </c>
      <c r="H514" s="869">
        <v>2020</v>
      </c>
      <c r="I514" s="869" t="s">
        <v>3936</v>
      </c>
      <c r="J514" s="68"/>
      <c r="K514" s="68"/>
      <c r="L514" s="68"/>
      <c r="M514" s="68"/>
      <c r="N514" s="869"/>
      <c r="O514" s="2037"/>
      <c r="P514" s="2037"/>
      <c r="Q514" s="68"/>
    </row>
    <row r="515" spans="3:17" s="115" customFormat="1">
      <c r="C515" s="68"/>
      <c r="D515" s="68"/>
      <c r="E515" s="68"/>
      <c r="F515" s="68"/>
      <c r="G515" s="1423" t="s">
        <v>285</v>
      </c>
      <c r="H515" s="869">
        <v>2020</v>
      </c>
      <c r="I515" s="869" t="s">
        <v>3936</v>
      </c>
      <c r="J515" s="68"/>
      <c r="K515" s="68"/>
      <c r="L515" s="68"/>
      <c r="M515" s="68"/>
      <c r="N515" s="869"/>
      <c r="O515" s="2037"/>
      <c r="P515" s="2037"/>
      <c r="Q515" s="68"/>
    </row>
    <row r="516" spans="3:17" s="115" customFormat="1">
      <c r="C516" s="68"/>
      <c r="D516" s="68"/>
      <c r="E516" s="68"/>
      <c r="F516" s="68"/>
      <c r="G516" s="1423" t="s">
        <v>1440</v>
      </c>
      <c r="H516" s="869" t="s">
        <v>3937</v>
      </c>
      <c r="I516" s="1757" t="s">
        <v>2446</v>
      </c>
      <c r="J516" s="68"/>
      <c r="K516" s="68"/>
      <c r="L516" s="68"/>
      <c r="M516" s="68"/>
      <c r="N516" s="869"/>
      <c r="O516" s="2037"/>
      <c r="P516" s="2037"/>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4" zoomScaleNormal="100" workbookViewId="0">
      <selection activeCell="A6" sqref="A6:D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2"/>
    <col min="27" max="16384" width="9.28515625" style="145"/>
  </cols>
  <sheetData>
    <row r="1" spans="1:28" s="1616" customFormat="1" hidden="1">
      <c r="A1" s="1615"/>
      <c r="B1" s="1615" t="s">
        <v>4205</v>
      </c>
      <c r="C1" s="1615"/>
      <c r="D1" s="1615"/>
      <c r="E1" s="1615"/>
      <c r="F1" s="1615" t="s">
        <v>4206</v>
      </c>
      <c r="G1" s="1615" t="s">
        <v>4207</v>
      </c>
      <c r="H1" s="1615" t="s">
        <v>4208</v>
      </c>
      <c r="I1" s="1615" t="s">
        <v>4209</v>
      </c>
      <c r="J1" s="1615" t="s">
        <v>4210</v>
      </c>
      <c r="K1" s="1615" t="s">
        <v>4211</v>
      </c>
      <c r="L1" s="1615"/>
      <c r="M1" s="1615"/>
      <c r="N1" s="1615" t="s">
        <v>4212</v>
      </c>
      <c r="O1" s="1615" t="s">
        <v>4213</v>
      </c>
      <c r="P1" s="1615" t="s">
        <v>4214</v>
      </c>
      <c r="Z1" s="1617">
        <v>1</v>
      </c>
    </row>
    <row r="2" spans="1:28" s="144" customFormat="1" ht="14.1" customHeight="1">
      <c r="A2" s="2909" t="str">
        <f>CONCATENATE("Part I-Project Identification"," - ",$O$7," ",$F$26,", ",$F$27,", ",J27," County")</f>
        <v>Part I-Project Identification - 2024-0 Redland Trace, Lawrenceville, Gwinnett County</v>
      </c>
      <c r="B2" s="2910"/>
      <c r="C2" s="2910"/>
      <c r="D2" s="2910"/>
      <c r="E2" s="2910"/>
      <c r="F2" s="2910"/>
      <c r="G2" s="2910"/>
      <c r="H2" s="2910"/>
      <c r="I2" s="2910"/>
      <c r="J2" s="2910"/>
      <c r="K2" s="2910"/>
      <c r="L2" s="2910"/>
      <c r="M2" s="2910"/>
      <c r="N2" s="2910"/>
      <c r="O2" s="2910"/>
      <c r="P2" s="2911"/>
      <c r="Z2" s="1617">
        <v>2</v>
      </c>
      <c r="AA2" s="1728">
        <v>1</v>
      </c>
    </row>
    <row r="3" spans="1:28" s="144" customFormat="1" ht="6" customHeight="1">
      <c r="A3" s="374"/>
      <c r="B3" s="374"/>
      <c r="C3" s="374"/>
      <c r="D3" s="374"/>
      <c r="E3" s="374"/>
      <c r="F3" s="374"/>
      <c r="G3" s="374"/>
      <c r="H3" s="374"/>
      <c r="I3" s="374"/>
      <c r="J3" s="374"/>
      <c r="K3" s="374"/>
      <c r="L3" s="374"/>
      <c r="M3" s="374"/>
      <c r="N3" s="374"/>
      <c r="O3" s="374"/>
      <c r="P3" s="374"/>
      <c r="Z3" s="1617">
        <v>3</v>
      </c>
      <c r="AA3" s="1728">
        <v>2</v>
      </c>
    </row>
    <row r="4" spans="1:28" s="144" customFormat="1" ht="87.75" customHeight="1">
      <c r="A4" s="2912" t="s">
        <v>4639</v>
      </c>
      <c r="B4" s="2912"/>
      <c r="C4" s="2912"/>
      <c r="D4" s="2912"/>
      <c r="E4" s="2912"/>
      <c r="F4" s="2912"/>
      <c r="G4" s="2912"/>
      <c r="H4" s="2912"/>
      <c r="I4" s="2912"/>
      <c r="J4" s="2912"/>
      <c r="K4" s="2912"/>
      <c r="L4" s="2912"/>
      <c r="M4" s="2912"/>
      <c r="N4" s="2912"/>
      <c r="O4" s="2912"/>
      <c r="P4" s="2912"/>
      <c r="Z4" s="1617">
        <v>4</v>
      </c>
      <c r="AA4" s="1728">
        <v>3</v>
      </c>
    </row>
    <row r="5" spans="1:28" s="144" customFormat="1" ht="9.75" customHeight="1">
      <c r="A5" s="374"/>
      <c r="B5" s="374"/>
      <c r="C5" s="374"/>
      <c r="D5" s="374"/>
      <c r="E5" s="374"/>
      <c r="F5" s="374"/>
      <c r="G5" s="374"/>
      <c r="H5" s="374"/>
      <c r="I5" s="374"/>
      <c r="J5" s="374"/>
      <c r="K5" s="374"/>
      <c r="L5" s="374"/>
      <c r="M5" s="374"/>
      <c r="N5" s="374"/>
      <c r="O5" s="374"/>
      <c r="P5" s="374"/>
      <c r="Z5" s="1617">
        <v>5</v>
      </c>
      <c r="AA5" s="1728">
        <v>4</v>
      </c>
    </row>
    <row r="6" spans="1:28" s="144" customFormat="1" ht="12" customHeight="1" thickBot="1">
      <c r="A6" s="2913" t="s">
        <v>5186</v>
      </c>
      <c r="B6" s="2913"/>
      <c r="C6" s="2913"/>
      <c r="D6" s="2913"/>
      <c r="F6" s="242"/>
      <c r="G6" s="224" t="s">
        <v>3701</v>
      </c>
      <c r="L6" s="374"/>
      <c r="P6" s="1697" t="s">
        <v>3207</v>
      </c>
      <c r="Z6" s="1617">
        <v>6</v>
      </c>
      <c r="AA6" s="1728">
        <v>5</v>
      </c>
    </row>
    <row r="7" spans="1:28" s="144" customFormat="1" ht="12" customHeight="1" thickBot="1">
      <c r="A7" s="2913"/>
      <c r="B7" s="2913"/>
      <c r="C7" s="2913"/>
      <c r="D7" s="2913"/>
      <c r="E7" s="983"/>
      <c r="F7" s="244"/>
      <c r="G7" s="224" t="s">
        <v>3986</v>
      </c>
      <c r="H7" s="248"/>
      <c r="I7" s="248"/>
      <c r="J7" s="248"/>
      <c r="O7" s="2914" t="s">
        <v>4752</v>
      </c>
      <c r="P7" s="2915"/>
      <c r="Q7" s="2916" t="s">
        <v>4531</v>
      </c>
      <c r="R7" s="2916"/>
      <c r="S7" s="2917"/>
      <c r="Z7" s="1617">
        <v>7</v>
      </c>
      <c r="AA7" s="1728">
        <v>6</v>
      </c>
    </row>
    <row r="8" spans="1:28" s="144" customFormat="1" ht="12" customHeight="1">
      <c r="A8" s="2913"/>
      <c r="B8" s="2913"/>
      <c r="C8" s="2913"/>
      <c r="D8" s="2913"/>
      <c r="E8" s="983"/>
      <c r="F8" s="407"/>
      <c r="G8" s="147" t="s">
        <v>2892</v>
      </c>
      <c r="H8" s="248"/>
      <c r="I8" s="248"/>
      <c r="J8" s="248"/>
      <c r="Q8" s="2918"/>
      <c r="R8" s="2919"/>
      <c r="S8" s="2920"/>
      <c r="Z8" s="1617">
        <v>8</v>
      </c>
      <c r="AA8" s="1728">
        <v>7</v>
      </c>
    </row>
    <row r="9" spans="1:28" s="144" customFormat="1" ht="6" customHeight="1">
      <c r="A9" s="374"/>
      <c r="E9" s="248"/>
      <c r="H9" s="248"/>
      <c r="I9" s="248"/>
      <c r="M9" s="248"/>
      <c r="Q9" s="2918"/>
      <c r="R9" s="2919"/>
      <c r="S9" s="2920"/>
      <c r="Z9" s="1617">
        <v>9</v>
      </c>
      <c r="AA9" s="1728">
        <v>8</v>
      </c>
    </row>
    <row r="10" spans="1:28" s="144" customFormat="1" ht="13.35" customHeight="1">
      <c r="A10" s="243" t="s">
        <v>572</v>
      </c>
      <c r="B10" s="243" t="s">
        <v>2186</v>
      </c>
      <c r="D10" s="145"/>
      <c r="E10" s="245"/>
      <c r="F10" s="246" t="s">
        <v>3184</v>
      </c>
      <c r="I10" s="2924">
        <f>'Part III-A-Uses of Funds'!$J$191</f>
        <v>1350000</v>
      </c>
      <c r="J10" s="2925"/>
      <c r="L10" s="144" t="s">
        <v>3185</v>
      </c>
      <c r="O10" s="2926">
        <f>'Part II-Sources of Funds'!$I$6</f>
        <v>0</v>
      </c>
      <c r="P10" s="2927"/>
      <c r="Q10" s="2918"/>
      <c r="R10" s="2919"/>
      <c r="S10" s="2920"/>
      <c r="Z10" s="1617">
        <v>10</v>
      </c>
      <c r="AA10" s="1728">
        <v>9</v>
      </c>
    </row>
    <row r="11" spans="1:28" s="144" customFormat="1" ht="6" customHeight="1">
      <c r="A11" s="243"/>
      <c r="B11" s="243"/>
      <c r="D11" s="145"/>
      <c r="E11" s="245"/>
      <c r="F11" s="245"/>
      <c r="I11" s="222"/>
      <c r="N11" s="247"/>
      <c r="Q11" s="2918"/>
      <c r="R11" s="2919"/>
      <c r="S11" s="2920"/>
      <c r="Z11" s="1617">
        <v>11</v>
      </c>
      <c r="AA11" s="1728">
        <v>10</v>
      </c>
    </row>
    <row r="12" spans="1:28" s="144" customFormat="1" ht="13.5">
      <c r="A12" s="222" t="s">
        <v>688</v>
      </c>
      <c r="B12" s="243" t="s">
        <v>1886</v>
      </c>
      <c r="F12" s="2928" t="s">
        <v>5132</v>
      </c>
      <c r="G12" s="2929"/>
      <c r="H12" s="2930"/>
      <c r="I12" s="1698" t="s">
        <v>4414</v>
      </c>
      <c r="J12" s="1457" t="s">
        <v>4826</v>
      </c>
      <c r="K12" s="243"/>
      <c r="L12" s="248"/>
      <c r="O12" s="2931" t="s">
        <v>5178</v>
      </c>
      <c r="P12" s="2932"/>
      <c r="Q12" s="2918"/>
      <c r="R12" s="2919"/>
      <c r="S12" s="2920"/>
      <c r="Z12" s="1617">
        <v>12</v>
      </c>
      <c r="AA12" s="1728">
        <v>11</v>
      </c>
    </row>
    <row r="13" spans="1:28" s="1989" customFormat="1" ht="15">
      <c r="A13" s="1962"/>
      <c r="C13" s="1968"/>
      <c r="D13" s="1968"/>
      <c r="E13" s="1968"/>
      <c r="F13" s="2093" t="s">
        <v>4825</v>
      </c>
      <c r="H13" s="2091"/>
      <c r="I13" s="2091"/>
      <c r="J13" s="2091"/>
      <c r="K13" s="2091"/>
      <c r="L13" s="2091"/>
      <c r="M13" s="2091"/>
      <c r="N13" s="2091"/>
      <c r="O13" s="2092"/>
      <c r="P13" s="2087"/>
      <c r="Q13" s="2918"/>
      <c r="R13" s="2919"/>
      <c r="S13" s="2920"/>
      <c r="T13" s="2054"/>
      <c r="U13" s="2054"/>
      <c r="V13" s="2054"/>
      <c r="W13" s="2054"/>
      <c r="X13" s="2054"/>
      <c r="Y13" s="2054"/>
      <c r="Z13" s="1617">
        <v>13</v>
      </c>
      <c r="AA13" s="1728">
        <v>12</v>
      </c>
      <c r="AB13" s="2054"/>
    </row>
    <row r="14" spans="1:28" s="144" customFormat="1">
      <c r="A14" s="374"/>
      <c r="B14" s="145"/>
      <c r="C14" s="145"/>
      <c r="D14" s="145"/>
      <c r="E14" s="145"/>
      <c r="H14" s="248"/>
      <c r="J14" s="393"/>
      <c r="K14" s="222"/>
      <c r="M14" s="248"/>
      <c r="Q14" s="2918"/>
      <c r="R14" s="2919"/>
      <c r="S14" s="2920"/>
      <c r="Z14" s="1617">
        <v>14</v>
      </c>
      <c r="AA14" s="1728">
        <v>13</v>
      </c>
    </row>
    <row r="15" spans="1:28" s="144" customFormat="1">
      <c r="A15" s="222" t="s">
        <v>690</v>
      </c>
      <c r="B15" s="243" t="s">
        <v>3554</v>
      </c>
      <c r="D15" s="246"/>
      <c r="E15" s="245"/>
      <c r="G15" s="245"/>
      <c r="H15" s="245"/>
      <c r="I15" s="738" t="s">
        <v>3212</v>
      </c>
      <c r="L15" s="247"/>
      <c r="Q15" s="2918"/>
      <c r="R15" s="2919"/>
      <c r="S15" s="2920"/>
      <c r="Z15" s="1617">
        <v>15</v>
      </c>
      <c r="AA15" s="1728">
        <v>14</v>
      </c>
    </row>
    <row r="16" spans="1:28" s="144" customFormat="1">
      <c r="B16" s="144" t="s">
        <v>3213</v>
      </c>
      <c r="F16" s="2933" t="s">
        <v>5133</v>
      </c>
      <c r="G16" s="2934"/>
      <c r="H16" s="2935"/>
      <c r="I16" s="2042" t="s">
        <v>1665</v>
      </c>
      <c r="J16" s="2943" t="s">
        <v>5134</v>
      </c>
      <c r="K16" s="2938"/>
      <c r="L16" s="2939"/>
      <c r="M16" s="1807" t="s">
        <v>1834</v>
      </c>
      <c r="N16" s="2933" t="s">
        <v>5135</v>
      </c>
      <c r="O16" s="2934"/>
      <c r="P16" s="2935"/>
      <c r="Q16" s="2918"/>
      <c r="R16" s="2919"/>
      <c r="S16" s="2920"/>
      <c r="Z16" s="1617">
        <v>16</v>
      </c>
      <c r="AA16" s="1728">
        <v>15</v>
      </c>
    </row>
    <row r="17" spans="1:27" s="144" customFormat="1" ht="12.75" customHeight="1">
      <c r="B17" s="246" t="s">
        <v>1597</v>
      </c>
      <c r="F17" s="261"/>
      <c r="G17" s="261"/>
      <c r="H17" s="261"/>
      <c r="I17" s="2043" t="s">
        <v>1596</v>
      </c>
      <c r="J17" s="810"/>
      <c r="M17" s="246" t="s">
        <v>1598</v>
      </c>
      <c r="N17" s="2944">
        <v>4178831632</v>
      </c>
      <c r="O17" s="2945"/>
      <c r="P17" s="2946"/>
      <c r="Q17" s="2918"/>
      <c r="R17" s="2919"/>
      <c r="S17" s="2920"/>
      <c r="V17" s="738"/>
      <c r="W17" s="738"/>
      <c r="X17" s="738"/>
      <c r="Z17" s="1617">
        <v>17</v>
      </c>
      <c r="AA17" s="1728">
        <v>16</v>
      </c>
    </row>
    <row r="18" spans="1:27" s="144" customFormat="1">
      <c r="B18" s="246" t="s">
        <v>1837</v>
      </c>
      <c r="F18" s="2936" t="s">
        <v>5136</v>
      </c>
      <c r="G18" s="2937"/>
      <c r="H18" s="2937"/>
      <c r="I18" s="2938"/>
      <c r="J18" s="2937"/>
      <c r="K18" s="2938"/>
      <c r="L18" s="2939"/>
      <c r="M18" s="246" t="s">
        <v>1833</v>
      </c>
      <c r="N18" s="2940"/>
      <c r="O18" s="2941"/>
      <c r="P18" s="2942"/>
      <c r="Q18" s="2918"/>
      <c r="R18" s="2919"/>
      <c r="S18" s="2920"/>
      <c r="U18" s="738"/>
      <c r="V18" s="738"/>
      <c r="W18" s="738"/>
      <c r="X18" s="738"/>
      <c r="Z18" s="1617">
        <v>18</v>
      </c>
      <c r="AA18" s="1728">
        <v>17</v>
      </c>
    </row>
    <row r="19" spans="1:27" s="144" customFormat="1">
      <c r="A19" s="374"/>
      <c r="B19" s="243" t="s">
        <v>3553</v>
      </c>
      <c r="C19" s="145"/>
      <c r="H19" s="248"/>
      <c r="J19" s="145"/>
      <c r="P19" s="248"/>
      <c r="Q19" s="2918"/>
      <c r="R19" s="2919"/>
      <c r="S19" s="2920"/>
      <c r="Z19" s="1617">
        <v>19</v>
      </c>
      <c r="AA19" s="1728">
        <v>18</v>
      </c>
    </row>
    <row r="20" spans="1:27" s="144" customFormat="1">
      <c r="B20" s="144" t="s">
        <v>3213</v>
      </c>
      <c r="F20" s="2933" t="s">
        <v>5133</v>
      </c>
      <c r="G20" s="2934"/>
      <c r="H20" s="2935"/>
      <c r="I20" s="2042" t="s">
        <v>1665</v>
      </c>
      <c r="J20" s="2943" t="s">
        <v>5137</v>
      </c>
      <c r="K20" s="2938"/>
      <c r="L20" s="2939"/>
      <c r="M20" s="1807" t="s">
        <v>1834</v>
      </c>
      <c r="N20" s="2933" t="s">
        <v>5138</v>
      </c>
      <c r="O20" s="2934"/>
      <c r="P20" s="2935"/>
      <c r="Q20" s="2918"/>
      <c r="R20" s="2919"/>
      <c r="S20" s="2920"/>
      <c r="Z20" s="1617">
        <v>20</v>
      </c>
      <c r="AA20" s="1728">
        <v>19</v>
      </c>
    </row>
    <row r="21" spans="1:27" s="144" customFormat="1">
      <c r="B21" s="246" t="s">
        <v>1597</v>
      </c>
      <c r="F21" s="2944">
        <v>4178831632</v>
      </c>
      <c r="G21" s="2945"/>
      <c r="H21" s="2946"/>
      <c r="I21" s="2043" t="s">
        <v>1596</v>
      </c>
      <c r="J21" s="810"/>
      <c r="M21" s="246" t="s">
        <v>1598</v>
      </c>
      <c r="N21" s="2944">
        <v>4178831632</v>
      </c>
      <c r="O21" s="2945"/>
      <c r="P21" s="2946"/>
      <c r="Q21" s="2918"/>
      <c r="R21" s="2919"/>
      <c r="S21" s="2920"/>
      <c r="U21" s="230"/>
      <c r="V21" s="230"/>
      <c r="W21" s="230"/>
      <c r="X21" s="230"/>
      <c r="Z21" s="1617">
        <v>21</v>
      </c>
      <c r="AA21" s="1728">
        <v>20</v>
      </c>
    </row>
    <row r="22" spans="1:27" s="144" customFormat="1">
      <c r="B22" s="246" t="s">
        <v>1837</v>
      </c>
      <c r="F22" s="2936" t="s">
        <v>5139</v>
      </c>
      <c r="G22" s="2937"/>
      <c r="H22" s="2937"/>
      <c r="I22" s="2938"/>
      <c r="J22" s="2937"/>
      <c r="K22" s="2938"/>
      <c r="L22" s="2939"/>
      <c r="M22" s="246" t="s">
        <v>1833</v>
      </c>
      <c r="N22" s="2940"/>
      <c r="O22" s="2941"/>
      <c r="P22" s="2942"/>
      <c r="Q22" s="2918"/>
      <c r="R22" s="2919"/>
      <c r="S22" s="2920"/>
      <c r="Z22" s="1617">
        <v>22</v>
      </c>
      <c r="AA22" s="1728">
        <v>21</v>
      </c>
    </row>
    <row r="23" spans="1:27" s="144" customFormat="1">
      <c r="I23" s="145"/>
      <c r="J23" s="145"/>
      <c r="K23" s="145"/>
      <c r="L23" s="145"/>
      <c r="M23" s="145"/>
      <c r="N23" s="145"/>
      <c r="O23" s="145"/>
      <c r="P23" s="145"/>
      <c r="Q23" s="2918"/>
      <c r="R23" s="2919"/>
      <c r="S23" s="2920"/>
      <c r="Z23" s="1617">
        <v>23</v>
      </c>
      <c r="AA23" s="1728">
        <v>22</v>
      </c>
    </row>
    <row r="24" spans="1:27" s="144" customFormat="1">
      <c r="A24" s="222" t="s">
        <v>1661</v>
      </c>
      <c r="B24" s="243" t="s">
        <v>1379</v>
      </c>
      <c r="D24" s="145"/>
      <c r="E24" s="245"/>
      <c r="F24" s="245"/>
      <c r="G24" s="246"/>
      <c r="H24" s="245"/>
      <c r="I24" s="245"/>
      <c r="J24" s="245"/>
      <c r="Q24" s="2918"/>
      <c r="R24" s="2919"/>
      <c r="S24" s="2920"/>
      <c r="Z24" s="1617">
        <v>24</v>
      </c>
      <c r="AA24" s="1728">
        <v>23</v>
      </c>
    </row>
    <row r="25" spans="1:27" s="144" customFormat="1" ht="1.5" customHeight="1">
      <c r="A25" s="222"/>
      <c r="B25" s="243"/>
      <c r="D25" s="145"/>
      <c r="E25" s="245"/>
      <c r="F25" s="245"/>
      <c r="G25" s="246"/>
      <c r="H25" s="245"/>
      <c r="I25" s="245"/>
      <c r="J25" s="245"/>
      <c r="L25" s="247"/>
      <c r="M25" s="247"/>
      <c r="Q25" s="2918"/>
      <c r="R25" s="2919"/>
      <c r="S25" s="2920"/>
      <c r="Z25" s="1617">
        <v>25</v>
      </c>
      <c r="AA25" s="1728">
        <v>24</v>
      </c>
    </row>
    <row r="26" spans="1:27" s="144" customFormat="1" ht="13.35" customHeight="1">
      <c r="A26" s="243"/>
      <c r="B26" s="144" t="s">
        <v>573</v>
      </c>
      <c r="D26" s="243"/>
      <c r="F26" s="2943" t="s">
        <v>5140</v>
      </c>
      <c r="G26" s="2948"/>
      <c r="H26" s="2948"/>
      <c r="I26" s="2938"/>
      <c r="J26" s="2948"/>
      <c r="K26" s="2949"/>
      <c r="M26" s="246" t="s">
        <v>424</v>
      </c>
      <c r="P26" s="1808" t="s">
        <v>2644</v>
      </c>
      <c r="Q26" s="2918"/>
      <c r="R26" s="2919"/>
      <c r="S26" s="2920"/>
      <c r="Z26" s="1617">
        <v>26</v>
      </c>
      <c r="AA26" s="1728">
        <v>25</v>
      </c>
    </row>
    <row r="27" spans="1:27" s="144" customFormat="1">
      <c r="A27" s="374"/>
      <c r="B27" s="144" t="s">
        <v>574</v>
      </c>
      <c r="F27" s="2950" t="s">
        <v>902</v>
      </c>
      <c r="G27" s="2951"/>
      <c r="H27" s="2952"/>
      <c r="I27" s="257" t="s">
        <v>575</v>
      </c>
      <c r="J27" s="2953" t="str">
        <f>IF(F27="","",VLOOKUP(F27,'DCA Underwriting Assumptions'!$T$166:$U$795,2,FALSE))</f>
        <v>Gwinnett</v>
      </c>
      <c r="K27" s="2954"/>
      <c r="M27" s="246" t="s">
        <v>425</v>
      </c>
      <c r="P27" s="1865" t="s">
        <v>2644</v>
      </c>
      <c r="Q27" s="2918"/>
      <c r="R27" s="2919"/>
      <c r="S27" s="2920"/>
      <c r="U27" s="374"/>
      <c r="Z27" s="1617">
        <v>27</v>
      </c>
      <c r="AA27" s="1728">
        <v>26</v>
      </c>
    </row>
    <row r="28" spans="1:27" s="144" customFormat="1" ht="13.5">
      <c r="A28" s="374"/>
      <c r="B28" s="144" t="s">
        <v>3783</v>
      </c>
      <c r="C28" s="251"/>
      <c r="D28" s="252"/>
      <c r="E28" s="252"/>
      <c r="F28" s="2950" t="s">
        <v>5141</v>
      </c>
      <c r="G28" s="2955"/>
      <c r="H28" s="2956"/>
      <c r="I28" s="248"/>
      <c r="J28" s="391" t="s">
        <v>4618</v>
      </c>
      <c r="K28" s="248"/>
      <c r="M28" s="246" t="s">
        <v>4561</v>
      </c>
      <c r="O28" s="2957">
        <v>8.32</v>
      </c>
      <c r="P28" s="2958"/>
      <c r="Q28" s="2918"/>
      <c r="R28" s="2919"/>
      <c r="S28" s="2920"/>
      <c r="Z28" s="1617">
        <v>28</v>
      </c>
      <c r="AA28" s="1728">
        <v>27</v>
      </c>
    </row>
    <row r="29" spans="1:27" s="144" customFormat="1">
      <c r="A29" s="374"/>
      <c r="B29" s="144" t="s">
        <v>1453</v>
      </c>
      <c r="F29" s="1198" t="s">
        <v>2644</v>
      </c>
      <c r="G29" s="807"/>
      <c r="I29" s="1864"/>
      <c r="J29" s="248" t="s">
        <v>2492</v>
      </c>
      <c r="K29" s="1866" t="str">
        <f>IF(F29="Yes","Rural","Urban")</f>
        <v>Urban</v>
      </c>
      <c r="M29" s="246" t="s">
        <v>2393</v>
      </c>
      <c r="N29" s="1867" t="str">
        <f>VLOOKUP($J$27,'DCA Underwriting Assumptions'!$G$166:$J$325,4)</f>
        <v>MSA</v>
      </c>
      <c r="O29" s="2953" t="str">
        <f>IF($F$27="","",VLOOKUP($J$27,'DCA Underwriting Assumptions'!$G$166:$L$325,3,FALSE))</f>
        <v>Atlanta-Sandy Springs-Marietta</v>
      </c>
      <c r="P29" s="2954"/>
      <c r="Q29" s="2918"/>
      <c r="R29" s="2919"/>
      <c r="S29" s="2920"/>
      <c r="Z29" s="1617">
        <v>29</v>
      </c>
      <c r="AA29" s="1728">
        <v>28</v>
      </c>
    </row>
    <row r="30" spans="1:27" s="144" customFormat="1">
      <c r="A30" s="374"/>
      <c r="B30" s="374"/>
      <c r="C30" s="251"/>
      <c r="D30" s="252"/>
      <c r="E30" s="252"/>
      <c r="F30" s="248"/>
      <c r="G30" s="248"/>
      <c r="H30" s="248"/>
      <c r="I30" s="248"/>
      <c r="J30" s="252"/>
      <c r="K30" s="248"/>
      <c r="L30" s="248"/>
      <c r="P30" s="248"/>
      <c r="Q30" s="2918"/>
      <c r="R30" s="2919"/>
      <c r="S30" s="2920"/>
      <c r="Z30" s="1617">
        <v>30</v>
      </c>
      <c r="AA30" s="1728">
        <v>29</v>
      </c>
    </row>
    <row r="31" spans="1:27" s="144" customFormat="1">
      <c r="A31" s="222" t="s">
        <v>1663</v>
      </c>
      <c r="B31" s="222" t="s">
        <v>4549</v>
      </c>
      <c r="D31" s="253"/>
      <c r="E31" s="253"/>
      <c r="F31" s="253"/>
      <c r="G31" s="248"/>
      <c r="H31" s="248"/>
      <c r="I31" s="248"/>
      <c r="J31" s="252"/>
      <c r="K31" s="248"/>
      <c r="L31" s="248"/>
      <c r="P31" s="1846"/>
      <c r="Q31" s="2918"/>
      <c r="R31" s="2919"/>
      <c r="S31" s="2920"/>
      <c r="Z31" s="1617">
        <v>31</v>
      </c>
      <c r="AA31" s="1728">
        <v>30</v>
      </c>
    </row>
    <row r="32" spans="1:27" s="144" customFormat="1" ht="2.25" customHeight="1">
      <c r="A32" s="374"/>
      <c r="B32" s="374"/>
      <c r="M32" s="246"/>
      <c r="N32" s="1155"/>
      <c r="O32" s="1155"/>
      <c r="P32" s="1465"/>
      <c r="Q32" s="2918"/>
      <c r="R32" s="2919"/>
      <c r="S32" s="2920"/>
      <c r="Z32" s="1617">
        <v>32</v>
      </c>
      <c r="AA32" s="1728">
        <v>31</v>
      </c>
    </row>
    <row r="33" spans="1:27" s="144" customFormat="1">
      <c r="A33" s="374"/>
      <c r="B33" s="222" t="s">
        <v>4548</v>
      </c>
      <c r="D33" s="804"/>
      <c r="E33" s="804"/>
      <c r="F33" s="804"/>
      <c r="G33" s="804"/>
      <c r="H33" s="248"/>
      <c r="J33" s="145"/>
      <c r="K33" s="252"/>
      <c r="P33" s="248"/>
      <c r="Q33" s="2918"/>
      <c r="R33" s="2919"/>
      <c r="S33" s="2920"/>
      <c r="Z33" s="1617">
        <v>33</v>
      </c>
      <c r="AA33" s="1728">
        <v>32</v>
      </c>
    </row>
    <row r="34" spans="1:27" s="144" customFormat="1" ht="1.5" customHeight="1">
      <c r="A34" s="374"/>
      <c r="B34" s="374"/>
      <c r="C34" s="222"/>
      <c r="D34" s="804"/>
      <c r="E34" s="804"/>
      <c r="F34" s="804"/>
      <c r="G34" s="804"/>
      <c r="H34" s="248"/>
      <c r="J34" s="145"/>
      <c r="K34" s="252"/>
      <c r="P34" s="248"/>
      <c r="Q34" s="2918"/>
      <c r="R34" s="2919"/>
      <c r="S34" s="2920"/>
      <c r="Z34" s="1617">
        <v>34</v>
      </c>
      <c r="AA34" s="1728">
        <v>33</v>
      </c>
    </row>
    <row r="35" spans="1:27" s="144" customFormat="1" ht="13.5" hidden="1" customHeight="1">
      <c r="A35" s="374"/>
      <c r="B35" s="374"/>
      <c r="C35" s="144" t="s">
        <v>1206</v>
      </c>
      <c r="D35" s="258"/>
      <c r="I35" s="1189"/>
      <c r="K35" s="243"/>
      <c r="L35" s="144" t="s">
        <v>3001</v>
      </c>
      <c r="P35" s="1801"/>
      <c r="Q35" s="2918"/>
      <c r="R35" s="2919"/>
      <c r="S35" s="2920"/>
      <c r="Z35" s="1617">
        <v>35</v>
      </c>
      <c r="AA35" s="1728">
        <v>34</v>
      </c>
    </row>
    <row r="36" spans="1:27" s="144" customFormat="1" ht="12.75" hidden="1" customHeight="1">
      <c r="A36" s="374"/>
      <c r="B36" s="243"/>
      <c r="C36" s="144" t="s">
        <v>3809</v>
      </c>
      <c r="I36" s="1795"/>
      <c r="J36" s="257" t="s">
        <v>2476</v>
      </c>
      <c r="O36" s="2959"/>
      <c r="P36" s="2960"/>
      <c r="Q36" s="2918"/>
      <c r="R36" s="2919"/>
      <c r="S36" s="2920"/>
      <c r="Z36" s="1617">
        <v>36</v>
      </c>
      <c r="AA36" s="1728">
        <v>35</v>
      </c>
    </row>
    <row r="37" spans="1:27" s="144" customFormat="1" ht="12.75" customHeight="1">
      <c r="A37" s="374"/>
      <c r="B37" s="243"/>
      <c r="C37" s="144" t="s">
        <v>1671</v>
      </c>
      <c r="I37" s="1189" t="s">
        <v>2644</v>
      </c>
      <c r="J37" s="257" t="s">
        <v>2476</v>
      </c>
      <c r="O37" s="2961"/>
      <c r="P37" s="2962"/>
      <c r="Q37" s="2918"/>
      <c r="R37" s="2919"/>
      <c r="S37" s="2920"/>
      <c r="Z37" s="1617">
        <v>37</v>
      </c>
      <c r="AA37" s="1728">
        <v>36</v>
      </c>
    </row>
    <row r="38" spans="1:27" s="144" customFormat="1" ht="12.6" customHeight="1">
      <c r="A38" s="374"/>
      <c r="B38" s="374"/>
      <c r="C38" s="144" t="s">
        <v>2567</v>
      </c>
      <c r="I38" s="849" t="s">
        <v>2644</v>
      </c>
      <c r="J38" s="257" t="s">
        <v>2476</v>
      </c>
      <c r="O38" s="2963"/>
      <c r="P38" s="2964"/>
      <c r="Q38" s="2921"/>
      <c r="R38" s="2922"/>
      <c r="S38" s="2923"/>
      <c r="Z38" s="1617">
        <v>38</v>
      </c>
      <c r="AA38" s="1728">
        <v>37</v>
      </c>
    </row>
    <row r="39" spans="1:27" s="144" customFormat="1" ht="3" customHeight="1">
      <c r="A39" s="374"/>
      <c r="B39" s="374"/>
      <c r="P39" s="145"/>
      <c r="Z39" s="1617">
        <v>39</v>
      </c>
      <c r="AA39" s="1728">
        <v>38</v>
      </c>
    </row>
    <row r="40" spans="1:27" s="144" customFormat="1" ht="8.25" customHeight="1">
      <c r="B40" s="243"/>
      <c r="L40" s="145"/>
      <c r="M40" s="145"/>
      <c r="N40" s="145"/>
      <c r="O40" s="145"/>
      <c r="P40" s="247"/>
      <c r="Z40" s="1617">
        <v>40</v>
      </c>
      <c r="AA40" s="1728">
        <v>39</v>
      </c>
    </row>
    <row r="41" spans="1:27" ht="12" customHeight="1">
      <c r="A41" s="222" t="s">
        <v>495</v>
      </c>
      <c r="C41" s="253" t="s">
        <v>529</v>
      </c>
      <c r="M41" s="222" t="s">
        <v>719</v>
      </c>
      <c r="N41" s="253" t="s">
        <v>74</v>
      </c>
      <c r="Z41" s="1617">
        <v>41</v>
      </c>
      <c r="AA41" s="1728">
        <v>40</v>
      </c>
    </row>
    <row r="42" spans="1:27" ht="12" customHeight="1">
      <c r="A42" s="222"/>
      <c r="C42" s="253"/>
      <c r="M42" s="222"/>
      <c r="N42" s="253"/>
      <c r="Z42" s="1617">
        <v>42</v>
      </c>
      <c r="AA42" s="1728">
        <v>41</v>
      </c>
    </row>
    <row r="43" spans="1:27" ht="409.5" customHeight="1">
      <c r="A43" s="2965"/>
      <c r="B43" s="2966"/>
      <c r="C43" s="2966"/>
      <c r="D43" s="2966"/>
      <c r="E43" s="2966"/>
      <c r="F43" s="2966"/>
      <c r="G43" s="2966"/>
      <c r="H43" s="2966"/>
      <c r="I43" s="2966"/>
      <c r="J43" s="2966"/>
      <c r="K43" s="2966"/>
      <c r="L43" s="2967"/>
      <c r="M43" s="2968"/>
      <c r="N43" s="2969"/>
      <c r="O43" s="2969"/>
      <c r="P43" s="2970"/>
      <c r="Q43" s="2947"/>
      <c r="R43" s="2908"/>
      <c r="S43" s="2908"/>
      <c r="T43" s="366"/>
      <c r="U43" s="366"/>
      <c r="Z43" s="1617">
        <v>43</v>
      </c>
      <c r="AA43" s="1728">
        <v>42</v>
      </c>
    </row>
    <row r="44" spans="1:27" ht="12" customHeight="1">
      <c r="Q44" s="366"/>
      <c r="R44" s="366"/>
      <c r="S44" s="366"/>
      <c r="T44" s="366"/>
      <c r="U44" s="366"/>
      <c r="Z44" s="1618"/>
      <c r="AA44" s="1728">
        <v>43</v>
      </c>
    </row>
    <row r="45" spans="1:27">
      <c r="Z45" s="1618"/>
      <c r="AA45" s="1728">
        <v>44</v>
      </c>
    </row>
    <row r="46" spans="1:27">
      <c r="AA46" s="1728">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2"/>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2"/>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2"/>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2"/>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2"/>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2"/>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2"/>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2"/>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2"/>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2"/>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2"/>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2"/>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2"/>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2"/>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2"/>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2"/>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2"/>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2"/>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2"/>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2"/>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2"/>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2"/>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3208</v>
      </c>
      <c r="K73" s="145"/>
      <c r="L73" s="145"/>
      <c r="M73" s="145"/>
      <c r="N73" s="145"/>
      <c r="O73" s="145"/>
      <c r="P73" s="845"/>
      <c r="Q73" s="846"/>
      <c r="R73" s="844"/>
      <c r="X73" s="145"/>
      <c r="Y73" s="145"/>
      <c r="Z73" s="1592"/>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2"/>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2"/>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2"/>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2"/>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2"/>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2"/>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2"/>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2"/>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2"/>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2"/>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2"/>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2"/>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2"/>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2"/>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2"/>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2"/>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2"/>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2"/>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2"/>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2"/>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2"/>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2"/>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2"/>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2"/>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2"/>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2"/>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2"/>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2"/>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2"/>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2"/>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2"/>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2"/>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2"/>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2"/>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2"/>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2"/>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2"/>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2"/>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2"/>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2"/>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2"/>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2"/>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2"/>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2"/>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2"/>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2"/>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2"/>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2"/>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2"/>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2"/>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2"/>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2"/>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2"/>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2"/>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2"/>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2"/>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2"/>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2"/>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2"/>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2"/>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2"/>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2"/>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2"/>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2"/>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2"/>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2"/>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2"/>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2"/>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2"/>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2"/>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2"/>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2"/>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2"/>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2"/>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2"/>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2"/>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2"/>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2"/>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2"/>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2"/>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2"/>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2"/>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2"/>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2"/>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2"/>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2"/>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2"/>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2"/>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2"/>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2"/>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2"/>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2"/>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2"/>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2"/>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2"/>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2"/>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2"/>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2"/>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2"/>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2"/>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2"/>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2"/>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2"/>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2"/>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2"/>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2"/>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2"/>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2"/>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2"/>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2"/>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2"/>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2"/>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2"/>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2"/>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2"/>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2"/>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2"/>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2"/>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2"/>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2"/>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2"/>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2"/>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2"/>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2"/>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2"/>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2"/>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2"/>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2"/>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2"/>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2"/>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2"/>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2"/>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2"/>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2"/>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2"/>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2"/>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2"/>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2"/>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2"/>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2"/>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2"/>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2"/>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2"/>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2"/>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2"/>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2"/>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2"/>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2"/>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2"/>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2"/>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2"/>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2"/>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2"/>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2"/>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2"/>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2"/>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2"/>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2"/>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2"/>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2"/>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2"/>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2"/>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2"/>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2"/>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2"/>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2"/>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2"/>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2"/>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2"/>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2"/>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2"/>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2"/>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2"/>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2"/>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2"/>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2"/>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2"/>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2"/>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2"/>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2"/>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2"/>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2"/>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2"/>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2"/>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2"/>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2"/>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2"/>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2"/>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2"/>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2"/>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2"/>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2"/>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2"/>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2"/>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2"/>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2"/>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2"/>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2"/>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2"/>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2"/>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2"/>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2"/>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2"/>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2"/>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2"/>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2"/>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2"/>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2"/>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2"/>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2"/>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2"/>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2"/>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2"/>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2"/>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2"/>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2"/>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2"/>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2"/>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2"/>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2"/>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2"/>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2"/>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2"/>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2"/>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2"/>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2"/>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2"/>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2"/>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2"/>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2"/>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2"/>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2"/>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2"/>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2"/>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2"/>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2"/>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2"/>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2"/>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2"/>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2"/>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2"/>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2"/>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2"/>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2"/>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2"/>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2"/>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2"/>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2"/>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2"/>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2"/>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2"/>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2"/>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2"/>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2"/>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2"/>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2"/>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2"/>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2"/>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2"/>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2"/>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2"/>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2"/>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2"/>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2"/>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2"/>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2"/>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2"/>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2"/>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2"/>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2"/>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2"/>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2"/>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2"/>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2"/>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2"/>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2"/>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2"/>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2"/>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2"/>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2"/>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2"/>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2"/>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2"/>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2"/>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2"/>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2"/>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2"/>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2"/>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2"/>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2"/>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2"/>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2"/>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2"/>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2"/>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2"/>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2"/>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2"/>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2"/>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2"/>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2"/>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2"/>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2"/>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2"/>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2"/>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2"/>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2"/>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2"/>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2"/>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2"/>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2"/>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2"/>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2"/>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2"/>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2"/>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2"/>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2"/>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2"/>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2"/>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2"/>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2"/>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2"/>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2"/>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2"/>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2"/>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2"/>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2"/>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2"/>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2"/>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2"/>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2"/>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2"/>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2"/>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2"/>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2"/>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2"/>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2"/>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2"/>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2"/>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2"/>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2"/>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2"/>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2"/>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2"/>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2"/>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2"/>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2"/>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2"/>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2"/>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2"/>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2"/>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2"/>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2"/>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2"/>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2"/>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2"/>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2"/>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2"/>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2"/>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2"/>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2"/>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2"/>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2"/>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2"/>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2"/>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2"/>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2"/>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2"/>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2"/>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2"/>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2"/>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2"/>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2"/>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2"/>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2"/>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2"/>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2"/>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2"/>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2"/>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2"/>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2"/>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2"/>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2"/>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2"/>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2"/>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2"/>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2"/>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2"/>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2"/>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2"/>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2"/>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2"/>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2"/>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2"/>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2"/>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2"/>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2"/>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2"/>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2"/>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2"/>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2"/>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2"/>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2"/>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2"/>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2"/>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2"/>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2"/>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2"/>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2"/>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2"/>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2"/>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2"/>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2"/>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2"/>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2"/>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2"/>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2"/>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2"/>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2"/>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2"/>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2"/>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2"/>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2"/>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2"/>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2"/>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2"/>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2"/>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2"/>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2"/>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2"/>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2"/>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2"/>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2"/>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2"/>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2"/>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2"/>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2"/>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2"/>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2"/>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2"/>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2"/>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2"/>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2"/>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2"/>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2"/>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2"/>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2"/>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2"/>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2"/>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2"/>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2"/>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2"/>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2"/>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2"/>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2"/>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2"/>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2"/>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2"/>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2"/>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2"/>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2"/>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2"/>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2"/>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2"/>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2"/>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2"/>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2"/>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2"/>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2"/>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2"/>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2"/>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2"/>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2"/>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2"/>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2"/>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2"/>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2"/>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2"/>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2"/>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2"/>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2"/>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2"/>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2"/>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2"/>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2"/>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2"/>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2"/>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2"/>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2"/>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2"/>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2"/>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2"/>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2"/>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2"/>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2"/>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2"/>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2"/>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2"/>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2"/>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2"/>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2"/>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2"/>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2"/>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2"/>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2"/>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2"/>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2"/>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2"/>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2"/>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2"/>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2"/>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2"/>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2"/>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2"/>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2"/>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2"/>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2"/>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2"/>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2"/>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2"/>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2"/>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2"/>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2"/>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2"/>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2"/>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2"/>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2"/>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2"/>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2"/>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2"/>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2"/>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2"/>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2"/>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2"/>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2"/>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2"/>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2"/>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2"/>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2"/>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2"/>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2"/>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2"/>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2"/>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2"/>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2"/>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2"/>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2"/>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2"/>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2"/>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2"/>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2"/>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2"/>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2"/>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2"/>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2"/>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2"/>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2"/>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2"/>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2"/>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2"/>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2"/>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2"/>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2"/>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2"/>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2"/>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2"/>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2"/>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2"/>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2"/>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2"/>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2"/>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2"/>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2"/>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2"/>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2"/>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2"/>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2"/>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2"/>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2"/>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2"/>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2"/>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2"/>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2"/>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2"/>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2"/>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2"/>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2"/>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2"/>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2"/>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2"/>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2"/>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2"/>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2"/>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2"/>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2"/>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2"/>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2"/>
      <c r="AA669" s="145"/>
      <c r="AB669" s="145"/>
      <c r="AC669" s="145"/>
      <c r="AD669" s="145"/>
      <c r="AE669" s="145"/>
      <c r="AF669" s="145"/>
      <c r="AG669" s="145"/>
    </row>
    <row r="670" spans="1:44" s="377" customFormat="1" ht="12" customHeight="1">
      <c r="A670" s="145"/>
      <c r="P670" s="145"/>
      <c r="X670" s="145"/>
      <c r="Y670" s="145"/>
      <c r="Z670" s="1592"/>
      <c r="AA670" s="145"/>
      <c r="AB670" s="145"/>
      <c r="AC670" s="145"/>
      <c r="AD670" s="145"/>
      <c r="AE670" s="145"/>
      <c r="AF670" s="145"/>
      <c r="AG670" s="145"/>
    </row>
    <row r="671" spans="1:44" s="377" customFormat="1" ht="12" customHeight="1">
      <c r="A671" s="145"/>
      <c r="P671" s="145"/>
      <c r="X671" s="145"/>
      <c r="Y671" s="145"/>
      <c r="Z671" s="1592"/>
      <c r="AA671" s="145"/>
      <c r="AB671" s="145"/>
      <c r="AC671" s="145"/>
      <c r="AD671" s="145"/>
      <c r="AE671" s="145"/>
      <c r="AF671" s="145"/>
      <c r="AG671" s="145"/>
    </row>
    <row r="672" spans="1:44" s="377" customFormat="1" ht="12" customHeight="1">
      <c r="A672" s="145"/>
      <c r="P672" s="145"/>
      <c r="X672" s="145"/>
      <c r="Y672" s="145"/>
      <c r="Z672" s="1592"/>
      <c r="AA672" s="145"/>
      <c r="AB672" s="145"/>
      <c r="AC672" s="145"/>
      <c r="AD672" s="145"/>
      <c r="AE672" s="145"/>
      <c r="AF672" s="145"/>
      <c r="AG672" s="145"/>
    </row>
    <row r="673" spans="1:33" s="377" customFormat="1" ht="12" customHeight="1">
      <c r="A673" s="145"/>
      <c r="P673" s="145"/>
      <c r="X673" s="145"/>
      <c r="Y673" s="145"/>
      <c r="Z673" s="1592"/>
      <c r="AA673" s="145"/>
      <c r="AB673" s="145"/>
      <c r="AC673" s="145"/>
      <c r="AD673" s="145"/>
      <c r="AE673" s="145"/>
      <c r="AF673" s="145"/>
      <c r="AG673" s="145"/>
    </row>
    <row r="674" spans="1:33" s="377" customFormat="1" ht="12" customHeight="1">
      <c r="A674" s="145"/>
      <c r="P674" s="145"/>
      <c r="X674" s="145"/>
      <c r="Y674" s="145"/>
      <c r="Z674" s="1592"/>
      <c r="AA674" s="145"/>
      <c r="AB674" s="145"/>
      <c r="AC674" s="145"/>
      <c r="AD674" s="145"/>
      <c r="AE674" s="145"/>
      <c r="AF674" s="145"/>
      <c r="AG674" s="145"/>
    </row>
    <row r="675" spans="1:33" s="377" customFormat="1" ht="12" customHeight="1">
      <c r="A675" s="145"/>
      <c r="P675" s="145"/>
      <c r="X675" s="145"/>
      <c r="Y675" s="145"/>
      <c r="Z675" s="1592"/>
      <c r="AA675" s="145"/>
      <c r="AB675" s="145"/>
      <c r="AC675" s="145"/>
      <c r="AD675" s="145"/>
      <c r="AE675" s="145"/>
      <c r="AF675" s="145"/>
      <c r="AG675" s="145"/>
    </row>
    <row r="676" spans="1:33" s="377" customFormat="1" ht="12" customHeight="1">
      <c r="A676" s="145"/>
      <c r="P676" s="145"/>
      <c r="X676" s="145"/>
      <c r="Y676" s="145"/>
      <c r="Z676" s="1592"/>
      <c r="AA676" s="145"/>
      <c r="AB676" s="145"/>
      <c r="AC676" s="145"/>
      <c r="AD676" s="145"/>
      <c r="AE676" s="145"/>
      <c r="AF676" s="145"/>
      <c r="AG676" s="145"/>
    </row>
    <row r="677" spans="1:33" s="377" customFormat="1" ht="12" customHeight="1">
      <c r="A677" s="145"/>
      <c r="P677" s="145"/>
      <c r="X677" s="145"/>
      <c r="Y677" s="145"/>
      <c r="Z677" s="1592"/>
      <c r="AA677" s="145"/>
      <c r="AB677" s="145"/>
      <c r="AC677" s="145"/>
      <c r="AD677" s="145"/>
      <c r="AE677" s="145"/>
      <c r="AF677" s="145"/>
      <c r="AG677" s="145"/>
    </row>
    <row r="678" spans="1:33" s="377" customFormat="1" ht="12" customHeight="1">
      <c r="A678" s="145"/>
      <c r="P678" s="145"/>
      <c r="X678" s="145"/>
      <c r="Y678" s="145"/>
      <c r="Z678" s="1592"/>
      <c r="AA678" s="145"/>
      <c r="AB678" s="145"/>
      <c r="AC678" s="145"/>
      <c r="AD678" s="145"/>
      <c r="AE678" s="145"/>
      <c r="AF678" s="145"/>
      <c r="AG678" s="145"/>
    </row>
    <row r="679" spans="1:33" s="377" customFormat="1" ht="12" customHeight="1">
      <c r="A679" s="145"/>
      <c r="P679" s="145"/>
      <c r="X679" s="145"/>
      <c r="Y679" s="145"/>
      <c r="Z679" s="1592"/>
      <c r="AA679" s="145"/>
      <c r="AB679" s="145"/>
      <c r="AC679" s="145"/>
      <c r="AD679" s="145"/>
      <c r="AE679" s="145"/>
      <c r="AF679" s="145"/>
      <c r="AG679" s="145"/>
    </row>
    <row r="680" spans="1:33" s="377" customFormat="1" ht="12" customHeight="1">
      <c r="A680" s="145"/>
      <c r="P680" s="145"/>
      <c r="X680" s="145"/>
      <c r="Y680" s="145"/>
      <c r="Z680" s="1592"/>
      <c r="AA680" s="145"/>
      <c r="AB680" s="145"/>
      <c r="AC680" s="145"/>
      <c r="AD680" s="145"/>
      <c r="AE680" s="145"/>
      <c r="AF680" s="145"/>
      <c r="AG680" s="145"/>
    </row>
    <row r="681" spans="1:33" s="377" customFormat="1" ht="12" customHeight="1">
      <c r="A681" s="145"/>
      <c r="P681" s="145"/>
      <c r="X681" s="145"/>
      <c r="Y681" s="145"/>
      <c r="Z681" s="1592"/>
      <c r="AA681" s="145"/>
      <c r="AB681" s="145"/>
      <c r="AC681" s="145"/>
      <c r="AD681" s="145"/>
      <c r="AE681" s="145"/>
      <c r="AF681" s="145"/>
      <c r="AG681" s="145"/>
    </row>
    <row r="682" spans="1:33" s="377" customFormat="1" ht="12" customHeight="1">
      <c r="A682" s="145"/>
      <c r="P682" s="145"/>
      <c r="X682" s="145"/>
      <c r="Y682" s="145"/>
      <c r="Z682" s="1592"/>
      <c r="AA682" s="145"/>
      <c r="AB682" s="145"/>
      <c r="AC682" s="145"/>
      <c r="AD682" s="145"/>
      <c r="AE682" s="145"/>
      <c r="AF682" s="145"/>
      <c r="AG682" s="145"/>
    </row>
    <row r="683" spans="1:33" s="377" customFormat="1" ht="12" customHeight="1">
      <c r="A683" s="145"/>
      <c r="P683" s="145"/>
      <c r="X683" s="145"/>
      <c r="Y683" s="145"/>
      <c r="Z683" s="1592"/>
      <c r="AA683" s="145"/>
      <c r="AB683" s="145"/>
      <c r="AC683" s="145"/>
      <c r="AD683" s="145"/>
      <c r="AE683" s="145"/>
      <c r="AF683" s="145"/>
      <c r="AG683" s="145"/>
    </row>
    <row r="684" spans="1:33" s="377" customFormat="1" ht="12" customHeight="1">
      <c r="B684" s="376"/>
      <c r="X684" s="145"/>
      <c r="Y684" s="145"/>
      <c r="Z684" s="1592"/>
      <c r="AA684" s="145"/>
      <c r="AB684" s="145"/>
      <c r="AC684" s="145"/>
      <c r="AD684" s="145"/>
      <c r="AE684" s="145"/>
      <c r="AF684" s="145"/>
      <c r="AG684" s="145"/>
    </row>
    <row r="685" spans="1:33" s="377" customFormat="1" ht="12" customHeight="1">
      <c r="B685" s="376"/>
      <c r="Z685" s="1592"/>
    </row>
    <row r="686" spans="1:33" s="377" customFormat="1" ht="12" customHeight="1">
      <c r="B686" s="376"/>
      <c r="Z686" s="1592"/>
    </row>
    <row r="687" spans="1:33" s="377" customFormat="1" ht="12" customHeight="1">
      <c r="B687" s="376"/>
      <c r="Z687" s="1592"/>
    </row>
    <row r="688" spans="1:33" s="377" customFormat="1" ht="12" customHeight="1">
      <c r="B688" s="376"/>
      <c r="Z688" s="1592"/>
    </row>
    <row r="689" spans="2:26" s="377" customFormat="1" ht="12" customHeight="1">
      <c r="B689" s="376"/>
      <c r="Z689" s="1592"/>
    </row>
    <row r="690" spans="2:26" s="377" customFormat="1" ht="12" customHeight="1">
      <c r="B690" s="376"/>
      <c r="Z690" s="1592"/>
    </row>
    <row r="691" spans="2:26" s="377" customFormat="1" ht="12" customHeight="1">
      <c r="B691" s="376"/>
      <c r="Z691" s="1592"/>
    </row>
    <row r="692" spans="2:26" s="377" customFormat="1" ht="12" customHeight="1">
      <c r="B692" s="376"/>
      <c r="Z692" s="1592"/>
    </row>
    <row r="693" spans="2:26" s="377" customFormat="1" ht="12" customHeight="1">
      <c r="B693" s="376"/>
      <c r="Z693" s="1592"/>
    </row>
    <row r="694" spans="2:26" s="377" customFormat="1" ht="12" customHeight="1">
      <c r="B694" s="376"/>
      <c r="Z694" s="1592"/>
    </row>
    <row r="695" spans="2:26" s="377" customFormat="1" ht="12" customHeight="1">
      <c r="B695" s="376"/>
      <c r="Z695" s="1592"/>
    </row>
    <row r="696" spans="2:26" s="377" customFormat="1" ht="12" customHeight="1">
      <c r="B696" s="376"/>
      <c r="Z696" s="1592"/>
    </row>
    <row r="697" spans="2:26" s="377" customFormat="1" ht="12" customHeight="1">
      <c r="B697" s="376"/>
      <c r="Z697" s="1592"/>
    </row>
    <row r="698" spans="2:26" s="377" customFormat="1" ht="12" customHeight="1">
      <c r="B698" s="376"/>
      <c r="Z698" s="1592"/>
    </row>
    <row r="699" spans="2:26" s="377" customFormat="1" ht="12" customHeight="1">
      <c r="B699" s="376"/>
      <c r="Z699" s="1592"/>
    </row>
    <row r="700" spans="2:26" s="377" customFormat="1" ht="12" customHeight="1">
      <c r="B700" s="376"/>
      <c r="Z700" s="1592"/>
    </row>
    <row r="701" spans="2:26" s="377" customFormat="1" ht="12" customHeight="1">
      <c r="B701" s="376"/>
      <c r="Z701" s="1592"/>
    </row>
    <row r="702" spans="2:26" s="377" customFormat="1" ht="12" customHeight="1">
      <c r="B702" s="376"/>
      <c r="Z702" s="1592"/>
    </row>
    <row r="703" spans="2:26" s="377" customFormat="1" ht="12" customHeight="1">
      <c r="B703" s="376"/>
      <c r="Z703" s="1592"/>
    </row>
    <row r="704" spans="2:26" s="377" customFormat="1" ht="12" customHeight="1">
      <c r="B704" s="376"/>
      <c r="Z704" s="1592"/>
    </row>
    <row r="705" spans="2:27" s="377" customFormat="1" ht="12" customHeight="1">
      <c r="B705" s="376"/>
      <c r="Z705" s="1592"/>
    </row>
    <row r="706" spans="2:27" s="377" customFormat="1" ht="12" customHeight="1">
      <c r="B706" s="376"/>
      <c r="Z706" s="1592"/>
    </row>
    <row r="707" spans="2:27" s="377" customFormat="1" ht="12" customHeight="1">
      <c r="B707" s="376"/>
      <c r="Z707" s="1592"/>
    </row>
    <row r="708" spans="2:27" s="377" customFormat="1" ht="12" customHeight="1">
      <c r="B708" s="376"/>
      <c r="Z708" s="1592"/>
    </row>
    <row r="709" spans="2:27" s="377" customFormat="1" ht="12" customHeight="1">
      <c r="B709" s="376"/>
      <c r="Z709" s="1592"/>
    </row>
    <row r="710" spans="2:27" s="377" customFormat="1" ht="12" customHeight="1">
      <c r="B710" s="376"/>
      <c r="Z710" s="1592"/>
    </row>
    <row r="711" spans="2:27" s="377" customFormat="1" ht="12" customHeight="1">
      <c r="B711" s="376"/>
      <c r="Z711" s="1592"/>
    </row>
    <row r="712" spans="2:27" s="377" customFormat="1" ht="12" customHeight="1">
      <c r="B712" s="376"/>
      <c r="N712" s="145"/>
      <c r="O712" s="145"/>
      <c r="Z712" s="1592"/>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wNUXcL8kMOfH6StfYYxRRMX+pePzLZBaRPo5goVz5nH3oDc86p9Gk08rz5SodkHWAm8EGGW1w4/3UZuG9TRYcg==" saltValue="yJiCoQftnVXtXp5/hg+GRQ==" spinCount="100000" sheet="1" objects="1" scenarios="1"/>
  <mergeCells count="34">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21:H21"/>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21 N17:N18"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scale="89" fitToHeight="2"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40" max="18"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3" t="s">
        <v>2574</v>
      </c>
      <c r="B1" s="4643"/>
      <c r="C1" s="4643"/>
      <c r="D1" s="4643"/>
      <c r="E1" s="4643"/>
      <c r="F1" s="4643"/>
      <c r="G1" s="4643"/>
      <c r="H1" s="4643"/>
      <c r="I1" s="4643"/>
      <c r="J1" s="4643"/>
    </row>
    <row r="2" spans="1:16" ht="15.75">
      <c r="A2" s="4643" t="str">
        <f>'Sensitivity Analysis'!C8</f>
        <v>Redland Trace</v>
      </c>
      <c r="B2" s="4643"/>
      <c r="C2" s="4643"/>
      <c r="D2" s="4643"/>
      <c r="E2" s="4643"/>
      <c r="F2" s="4643"/>
      <c r="G2" s="4643"/>
      <c r="H2" s="4643"/>
      <c r="I2" s="4643"/>
      <c r="J2" s="4643"/>
    </row>
    <row r="3" spans="1:16" ht="15.75">
      <c r="A3" s="4643" t="str">
        <f>'Subsidy Layering Memo'!F14</f>
        <v>Lawrenceville, Gwinnett</v>
      </c>
      <c r="B3" s="4643"/>
      <c r="C3" s="4643"/>
      <c r="D3" s="4643"/>
      <c r="E3" s="4643"/>
      <c r="F3" s="4643"/>
      <c r="G3" s="4643"/>
      <c r="H3" s="4643"/>
      <c r="I3" s="4643"/>
      <c r="J3" s="4643"/>
    </row>
    <row r="4" spans="1:16" ht="15.75">
      <c r="A4" s="4644" t="s">
        <v>2575</v>
      </c>
      <c r="B4" s="4643"/>
      <c r="C4" s="4643"/>
      <c r="D4" s="4643"/>
      <c r="E4" s="4643"/>
      <c r="F4" s="4643"/>
      <c r="G4" s="4643"/>
      <c r="H4" s="4643"/>
      <c r="I4" s="4643"/>
      <c r="J4" s="4643"/>
    </row>
    <row r="5" spans="1:16" ht="5.25" customHeight="1"/>
    <row r="6" spans="1:16" ht="5.25" customHeight="1"/>
    <row r="7" spans="1:16" ht="15.75">
      <c r="A7" s="4645" t="s">
        <v>2576</v>
      </c>
      <c r="B7" s="4645"/>
      <c r="C7" s="4646"/>
      <c r="M7" s="4637"/>
      <c r="N7" s="4637"/>
      <c r="O7" s="4637"/>
      <c r="P7" s="4637"/>
    </row>
    <row r="8" spans="1:16" ht="57" customHeight="1">
      <c r="A8" s="4638" t="s">
        <v>4053</v>
      </c>
      <c r="B8" s="4638"/>
      <c r="C8" s="4638"/>
      <c r="D8" s="4638"/>
      <c r="E8" s="4638"/>
      <c r="F8" s="4638"/>
      <c r="G8" s="4638"/>
      <c r="H8" s="4638"/>
      <c r="I8" s="4638"/>
      <c r="J8" s="4638"/>
      <c r="K8" s="505"/>
    </row>
    <row r="9" spans="1:16" ht="45.75" customHeight="1">
      <c r="A9" s="46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Lawrenceville, Gwinnett County, Georgia, with the development of 80 units set aside for &lt;&lt; Select PROPOSED Tenancy &gt;&gt;.</v>
      </c>
      <c r="B9" s="4638"/>
      <c r="C9" s="4638"/>
      <c r="D9" s="4638"/>
      <c r="E9" s="4638"/>
      <c r="F9" s="4638"/>
      <c r="G9" s="4638"/>
      <c r="H9" s="4638"/>
      <c r="I9" s="4638"/>
      <c r="J9" s="4638"/>
      <c r="K9" s="505"/>
    </row>
    <row r="10" spans="1:16" ht="15.75">
      <c r="A10" s="506" t="s">
        <v>2577</v>
      </c>
    </row>
    <row r="11" spans="1:16" ht="16.5" customHeight="1">
      <c r="A11" s="4638" t="str">
        <f>'Subsidy Layering Memo'!A50</f>
        <v xml:space="preserve">Ownership entity:  (NAME) LP, a Georgia Limited Partnership, will be the ownership entity for the proposed project. </v>
      </c>
      <c r="B11" s="4640"/>
      <c r="C11" s="4640"/>
      <c r="D11" s="4640"/>
      <c r="E11" s="4640"/>
      <c r="F11" s="4640"/>
      <c r="G11" s="4640"/>
      <c r="H11" s="4640"/>
      <c r="I11" s="4640"/>
      <c r="J11" s="4638"/>
    </row>
    <row r="12" spans="1:16" ht="63.75" customHeight="1">
      <c r="A12" s="46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8"/>
      <c r="C12" s="4638"/>
      <c r="D12" s="4638"/>
      <c r="E12" s="4638"/>
      <c r="F12" s="4638"/>
      <c r="G12" s="4638"/>
      <c r="H12" s="4638"/>
      <c r="I12" s="4638"/>
      <c r="J12" s="4638"/>
    </row>
    <row r="13" spans="1:16" ht="48.75" customHeight="1">
      <c r="A13" s="46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8"/>
      <c r="C13" s="4638"/>
      <c r="D13" s="4638"/>
      <c r="E13" s="4638"/>
      <c r="F13" s="4638"/>
      <c r="G13" s="4638"/>
      <c r="H13" s="4638"/>
      <c r="I13" s="4638"/>
      <c r="J13" s="4638"/>
    </row>
    <row r="14" spans="1:16" ht="15.75">
      <c r="A14" s="506" t="s">
        <v>2578</v>
      </c>
      <c r="B14" s="507"/>
    </row>
    <row r="15" spans="1:16">
      <c r="A15" s="504" t="s">
        <v>2579</v>
      </c>
      <c r="D15" s="1002" t="s">
        <v>2580</v>
      </c>
    </row>
    <row r="16" spans="1:16">
      <c r="A16" s="504" t="s">
        <v>2581</v>
      </c>
      <c r="D16" s="1195">
        <f>'Sensitivity Analysis'!C25</f>
        <v>5200000</v>
      </c>
    </row>
    <row r="17" spans="1:11">
      <c r="A17" s="508" t="s">
        <v>2582</v>
      </c>
      <c r="D17" s="1196">
        <f>'Sensitivity Analysis'!C13</f>
        <v>80</v>
      </c>
    </row>
    <row r="18" spans="1:11" ht="14.25" customHeight="1"/>
    <row r="19" spans="1:11" ht="15.75">
      <c r="A19" s="506" t="s">
        <v>2583</v>
      </c>
      <c r="B19" s="507"/>
      <c r="C19" s="507"/>
    </row>
    <row r="20" spans="1:11" ht="48.75" customHeight="1">
      <c r="A20" s="46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1"/>
      <c r="C20" s="4641"/>
      <c r="D20" s="4641"/>
      <c r="E20" s="4641"/>
      <c r="F20" s="4641"/>
      <c r="G20" s="4641"/>
      <c r="H20" s="4641"/>
      <c r="I20" s="4641"/>
      <c r="J20" s="4641"/>
    </row>
    <row r="21" spans="1:11" ht="72.75" customHeight="1">
      <c r="A21" s="4638" t="str">
        <f>'Subsidy Layering Memo'!A67</f>
        <v xml:space="preserve"> will make a capital contribution totaling 12294558 via the syndication of the 2024 Federal LIHTC allocation of 1350000 per annum. will make a capital contribution totaling 7684200 via the syndication of the 2024 State LIHTC allocation of 1350000 per annum.</v>
      </c>
      <c r="B21" s="4638"/>
      <c r="C21" s="4638"/>
      <c r="D21" s="4638"/>
      <c r="E21" s="4638"/>
      <c r="F21" s="4638"/>
      <c r="G21" s="4638"/>
      <c r="H21" s="4638"/>
      <c r="I21" s="4638"/>
      <c r="J21" s="4638"/>
    </row>
    <row r="22" spans="1:11" ht="43.5" customHeight="1">
      <c r="A22" s="4642" t="str">
        <f>'Subsidy Layering Memo'!A68</f>
        <v xml:space="preserve">The total equity price per credit will be 1.48 (0.92 Federal tax credit and 0.56 State tax credit) for a (X%) ownership interest of the Federal Credits and a (X%) ownership interest of the State Credits. </v>
      </c>
      <c r="B22" s="4642"/>
      <c r="C22" s="4642"/>
      <c r="D22" s="4642"/>
      <c r="E22" s="4642"/>
      <c r="F22" s="4642"/>
      <c r="G22" s="4642"/>
      <c r="H22" s="4642"/>
      <c r="I22" s="4642"/>
      <c r="J22" s="4642"/>
    </row>
    <row r="23" spans="1:11" ht="15.75">
      <c r="A23" s="506" t="s">
        <v>4054</v>
      </c>
      <c r="B23" s="507"/>
      <c r="C23" s="507"/>
      <c r="D23" s="507"/>
      <c r="E23" s="507"/>
      <c r="F23" s="507"/>
    </row>
    <row r="24" spans="1:11" ht="102.75" customHeight="1">
      <c r="A24" s="46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8"/>
      <c r="C24" s="4638"/>
      <c r="D24" s="4638"/>
      <c r="E24" s="4638"/>
      <c r="F24" s="4638"/>
      <c r="G24" s="4638"/>
      <c r="H24" s="4638"/>
      <c r="I24" s="4638"/>
      <c r="J24" s="4638"/>
    </row>
    <row r="25" spans="1:11" ht="15" customHeight="1">
      <c r="A25" s="4639"/>
      <c r="B25" s="4639"/>
      <c r="C25" s="4639"/>
      <c r="D25" s="4639"/>
      <c r="E25" s="4639"/>
      <c r="F25" s="4639"/>
      <c r="G25" s="4639"/>
      <c r="H25" s="4639"/>
      <c r="I25" s="4639"/>
      <c r="J25" s="4639"/>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Redland Trace</v>
      </c>
    </row>
    <row r="13" spans="1:10" ht="15">
      <c r="A13" s="514"/>
      <c r="D13" s="513" t="s">
        <v>2597</v>
      </c>
      <c r="F13" s="1003" t="str">
        <f>'Sensitivity Analysis'!E8</f>
        <v>2024-0</v>
      </c>
    </row>
    <row r="14" spans="1:10" ht="15">
      <c r="A14" s="514"/>
      <c r="D14" s="513" t="s">
        <v>2598</v>
      </c>
      <c r="F14" s="1003" t="str">
        <f>'Sensitivity Analysis'!H8</f>
        <v>Lawrenceville, Gwinnett</v>
      </c>
    </row>
    <row r="15" spans="1:10" ht="15">
      <c r="A15" s="514"/>
      <c r="D15" s="513" t="s">
        <v>2881</v>
      </c>
      <c r="F15" s="4647">
        <f>'Sensitivity Analysis'!$C$25</f>
        <v>5200000</v>
      </c>
      <c r="G15" s="4647"/>
      <c r="H15" s="4647"/>
    </row>
    <row r="16" spans="1:10">
      <c r="D16" s="516" t="s">
        <v>4948</v>
      </c>
      <c r="F16" s="2388">
        <f>'Sensitivity Analysis'!C13</f>
        <v>80</v>
      </c>
      <c r="G16" s="2386">
        <f>'Sensitivity Analysis'!E13</f>
        <v>60</v>
      </c>
      <c r="H16" s="2387">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Urban</v>
      </c>
    </row>
    <row r="19" spans="1:18" ht="15">
      <c r="A19" s="514"/>
      <c r="D19" s="516" t="s">
        <v>2882</v>
      </c>
      <c r="F19" s="1003">
        <f>'Sensitivity Analysis'!E16</f>
        <v>0</v>
      </c>
    </row>
    <row r="20" spans="1:18" ht="15">
      <c r="A20" s="514"/>
      <c r="D20" s="516"/>
    </row>
    <row r="21" spans="1:18" ht="15">
      <c r="A21" s="519" t="s">
        <v>4056</v>
      </c>
    </row>
    <row r="22" spans="1:18" ht="111.75" customHeight="1">
      <c r="A22" s="4653" t="s">
        <v>3014</v>
      </c>
      <c r="B22" s="4653"/>
      <c r="C22" s="4653"/>
      <c r="D22" s="4653"/>
      <c r="E22" s="4653"/>
      <c r="F22" s="4653"/>
      <c r="G22" s="4653"/>
      <c r="H22" s="4653"/>
      <c r="I22" s="4653"/>
      <c r="J22" s="4653"/>
      <c r="K22" s="4655" t="s">
        <v>3775</v>
      </c>
      <c r="L22" s="4655"/>
      <c r="M22" s="4655"/>
      <c r="N22" s="4655"/>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60"/>
      <c r="B24" s="4660"/>
      <c r="C24" s="4660"/>
      <c r="D24" s="4660"/>
      <c r="E24" s="4660"/>
      <c r="F24" s="4660"/>
      <c r="G24" s="4660"/>
      <c r="H24" s="4660"/>
      <c r="I24" s="4660"/>
      <c r="J24" s="4660"/>
    </row>
    <row r="25" spans="1:18" ht="10.5" hidden="1" customHeight="1">
      <c r="A25" s="4642"/>
      <c r="B25" s="4642"/>
      <c r="C25" s="4642"/>
      <c r="D25" s="4642"/>
      <c r="E25" s="4642"/>
      <c r="F25" s="4642"/>
      <c r="G25" s="4642"/>
      <c r="H25" s="4642"/>
      <c r="I25" s="4642"/>
      <c r="J25" s="4642"/>
    </row>
    <row r="26" spans="1:18" ht="15">
      <c r="A26" s="519" t="s">
        <v>4055</v>
      </c>
    </row>
    <row r="27" spans="1:18" ht="14.25" customHeight="1">
      <c r="A27" s="4661" t="s">
        <v>4057</v>
      </c>
      <c r="B27" s="4661"/>
      <c r="C27" s="4661"/>
      <c r="D27" s="4661"/>
      <c r="E27" s="4661"/>
      <c r="F27" s="4661"/>
      <c r="G27" s="4661"/>
      <c r="H27" s="4661"/>
      <c r="I27" s="4661"/>
      <c r="J27" s="4661"/>
    </row>
    <row r="28" spans="1:18" ht="14.25" customHeight="1">
      <c r="A28" s="4661"/>
      <c r="B28" s="4661"/>
      <c r="C28" s="4661"/>
      <c r="D28" s="4661"/>
      <c r="E28" s="4661"/>
      <c r="F28" s="4661"/>
      <c r="G28" s="4661"/>
      <c r="H28" s="4661"/>
      <c r="I28" s="4661"/>
      <c r="J28" s="4661"/>
    </row>
    <row r="29" spans="1:18" ht="6.75" customHeight="1">
      <c r="A29" s="4661"/>
      <c r="B29" s="4661"/>
      <c r="C29" s="4661"/>
      <c r="D29" s="4661"/>
      <c r="E29" s="4661"/>
      <c r="F29" s="4661"/>
      <c r="G29" s="4661"/>
      <c r="H29" s="4661"/>
      <c r="I29" s="4661"/>
      <c r="J29" s="4661"/>
    </row>
    <row r="30" spans="1:18" ht="21.75" customHeight="1">
      <c r="A30" s="4661"/>
      <c r="B30" s="4661"/>
      <c r="C30" s="4661"/>
      <c r="D30" s="4661"/>
      <c r="E30" s="4661"/>
      <c r="F30" s="4661"/>
      <c r="G30" s="4661"/>
      <c r="H30" s="4661"/>
      <c r="I30" s="4661"/>
      <c r="J30" s="4661"/>
    </row>
    <row r="31" spans="1:18" ht="20.25" customHeight="1">
      <c r="A31" s="4661"/>
      <c r="B31" s="4661"/>
      <c r="C31" s="4661"/>
      <c r="D31" s="4661"/>
      <c r="E31" s="4661"/>
      <c r="F31" s="4661"/>
      <c r="G31" s="4661"/>
      <c r="H31" s="4661"/>
      <c r="I31" s="4661"/>
      <c r="J31" s="4661"/>
    </row>
    <row r="32" spans="1:18" ht="54.75" customHeight="1">
      <c r="A32" s="4661"/>
      <c r="B32" s="4661"/>
      <c r="C32" s="4661"/>
      <c r="D32" s="4661"/>
      <c r="E32" s="4661"/>
      <c r="F32" s="4661"/>
      <c r="G32" s="4661"/>
      <c r="H32" s="4661"/>
      <c r="I32" s="4661"/>
      <c r="J32" s="4661"/>
    </row>
    <row r="33" spans="1:10" ht="0.75" hidden="1" customHeight="1">
      <c r="A33" s="4661"/>
      <c r="B33" s="4661"/>
      <c r="C33" s="4661"/>
      <c r="D33" s="4661"/>
      <c r="E33" s="4661"/>
      <c r="F33" s="4661"/>
      <c r="G33" s="4661"/>
      <c r="H33" s="4661"/>
      <c r="I33" s="4661"/>
      <c r="J33" s="4661"/>
    </row>
    <row r="34" spans="1:10" ht="3.75" hidden="1" customHeight="1">
      <c r="A34" s="4661"/>
      <c r="B34" s="4661"/>
      <c r="C34" s="4661"/>
      <c r="D34" s="4661"/>
      <c r="E34" s="4661"/>
      <c r="F34" s="4661"/>
      <c r="G34" s="4661"/>
      <c r="H34" s="4661"/>
      <c r="I34" s="4661"/>
      <c r="J34" s="4661"/>
    </row>
    <row r="35" spans="1:10" ht="5.25" customHeight="1">
      <c r="A35" s="1192"/>
      <c r="B35" s="1192"/>
      <c r="C35" s="1192"/>
      <c r="D35" s="1192"/>
      <c r="E35" s="1192"/>
      <c r="F35" s="1192"/>
      <c r="G35" s="1192"/>
      <c r="H35" s="1192"/>
      <c r="I35" s="1192"/>
      <c r="J35" s="1192"/>
    </row>
    <row r="36" spans="1:10" ht="19.5" customHeight="1">
      <c r="A36" s="4660" t="s">
        <v>4058</v>
      </c>
      <c r="B36" s="4660"/>
      <c r="C36" s="4660"/>
      <c r="D36" s="1190"/>
      <c r="E36" s="1190"/>
      <c r="F36" s="1190"/>
      <c r="G36" s="1190"/>
      <c r="H36" s="1190"/>
      <c r="I36" s="1190"/>
      <c r="J36" s="1190"/>
    </row>
    <row r="37" spans="1:10" ht="22.5" customHeight="1">
      <c r="A37" s="4642" t="s">
        <v>1611</v>
      </c>
      <c r="B37" s="4642"/>
      <c r="C37" s="4642"/>
      <c r="D37" s="4642"/>
      <c r="E37" s="4642"/>
      <c r="F37" s="4642"/>
      <c r="G37" s="4642"/>
      <c r="H37" s="4642"/>
      <c r="I37" s="4642"/>
      <c r="J37" s="4642"/>
    </row>
    <row r="38" spans="1:10" ht="22.5" customHeight="1">
      <c r="A38" s="4642" t="s">
        <v>1612</v>
      </c>
      <c r="B38" s="4642"/>
      <c r="C38" s="4642"/>
      <c r="D38" s="4642"/>
      <c r="E38" s="4642"/>
      <c r="F38" s="4642"/>
      <c r="G38" s="4642"/>
      <c r="H38" s="4642"/>
      <c r="I38" s="4642"/>
      <c r="J38" s="4642"/>
    </row>
    <row r="39" spans="1:10" ht="22.5" customHeight="1">
      <c r="A39" s="4642" t="s">
        <v>1613</v>
      </c>
      <c r="B39" s="4642"/>
      <c r="C39" s="4642"/>
      <c r="D39" s="4642"/>
      <c r="E39" s="4642"/>
      <c r="F39" s="4642"/>
      <c r="G39" s="4642"/>
      <c r="H39" s="4642"/>
      <c r="I39" s="4642"/>
      <c r="J39" s="4642"/>
    </row>
    <row r="40" spans="1:10" ht="22.5" customHeight="1">
      <c r="A40" s="4642" t="s">
        <v>2176</v>
      </c>
      <c r="B40" s="4642"/>
      <c r="C40" s="4642"/>
      <c r="D40" s="4642"/>
      <c r="E40" s="4642"/>
      <c r="F40" s="4642"/>
      <c r="G40" s="4642"/>
      <c r="H40" s="4642"/>
      <c r="I40" s="4642"/>
      <c r="J40" s="4642"/>
    </row>
    <row r="41" spans="1:10" ht="22.5" customHeight="1">
      <c r="A41" s="4642" t="s">
        <v>1446</v>
      </c>
      <c r="B41" s="4642"/>
      <c r="C41" s="4642"/>
      <c r="D41" s="4642"/>
      <c r="E41" s="4642"/>
      <c r="F41" s="4642"/>
      <c r="G41" s="4642"/>
      <c r="H41" s="4642"/>
      <c r="I41" s="4642"/>
      <c r="J41" s="4642"/>
    </row>
    <row r="42" spans="1:10" ht="22.5" customHeight="1">
      <c r="A42" s="4642" t="s">
        <v>1447</v>
      </c>
      <c r="B42" s="4642"/>
      <c r="C42" s="4642"/>
      <c r="D42" s="4642"/>
      <c r="E42" s="4642"/>
      <c r="F42" s="4642"/>
      <c r="G42" s="4642"/>
      <c r="H42" s="4642"/>
      <c r="I42" s="4642"/>
      <c r="J42" s="4642"/>
    </row>
    <row r="43" spans="1:10" ht="22.5" customHeight="1">
      <c r="A43" s="4642" t="s">
        <v>93</v>
      </c>
      <c r="B43" s="4642"/>
      <c r="C43" s="4642"/>
      <c r="D43" s="4642"/>
      <c r="E43" s="4642"/>
      <c r="F43" s="4642"/>
      <c r="G43" s="4642"/>
      <c r="H43" s="4642"/>
      <c r="I43" s="4642"/>
      <c r="J43" s="4642"/>
    </row>
    <row r="44" spans="1:10" ht="22.5" customHeight="1">
      <c r="A44" s="4642" t="s">
        <v>480</v>
      </c>
      <c r="B44" s="4642"/>
      <c r="C44" s="4642"/>
      <c r="D44" s="4642"/>
      <c r="E44" s="4642"/>
      <c r="F44" s="4642"/>
      <c r="G44" s="4642"/>
      <c r="H44" s="4642"/>
      <c r="I44" s="4642"/>
      <c r="J44" s="4642"/>
    </row>
    <row r="45" spans="1:10" ht="2.25" customHeight="1">
      <c r="A45" s="1190"/>
      <c r="B45" s="1190"/>
      <c r="C45" s="1190"/>
      <c r="D45" s="1190"/>
      <c r="E45" s="1190"/>
      <c r="F45" s="1190"/>
      <c r="G45" s="1190"/>
      <c r="H45" s="1190"/>
      <c r="I45" s="1190"/>
      <c r="J45" s="1190"/>
    </row>
    <row r="46" spans="1:10" ht="15">
      <c r="A46" s="519" t="s">
        <v>2599</v>
      </c>
    </row>
    <row r="47" spans="1:10" ht="135" customHeight="1">
      <c r="A47" s="4642" t="s">
        <v>4949</v>
      </c>
      <c r="B47" s="4642"/>
      <c r="C47" s="4642"/>
      <c r="D47" s="4642"/>
      <c r="E47" s="4642"/>
      <c r="F47" s="4642"/>
      <c r="G47" s="4642"/>
      <c r="H47" s="4642"/>
      <c r="I47" s="4642"/>
      <c r="J47" s="4642"/>
    </row>
    <row r="48" spans="1:10" ht="6" customHeight="1">
      <c r="A48" s="1191"/>
      <c r="B48" s="1191"/>
      <c r="C48" s="1191"/>
      <c r="D48" s="1191"/>
      <c r="E48" s="1191"/>
      <c r="F48" s="1191"/>
      <c r="G48" s="1191"/>
      <c r="H48" s="1191"/>
      <c r="I48" s="1191"/>
      <c r="J48" s="1191"/>
    </row>
    <row r="49" spans="1:12" ht="15">
      <c r="A49" s="519" t="s">
        <v>2600</v>
      </c>
    </row>
    <row r="50" spans="1:12" ht="33" customHeight="1">
      <c r="A50" s="4638" t="s">
        <v>3365</v>
      </c>
      <c r="B50" s="4640"/>
      <c r="C50" s="4640"/>
      <c r="D50" s="4640"/>
      <c r="E50" s="4640"/>
      <c r="F50" s="4640"/>
      <c r="G50" s="4640"/>
      <c r="H50" s="4640"/>
      <c r="I50" s="4640"/>
      <c r="J50" s="4638"/>
    </row>
    <row r="51" spans="1:12" ht="3" customHeight="1"/>
    <row r="52" spans="1:12" ht="72.75" customHeight="1">
      <c r="A52" s="4638" t="s">
        <v>3366</v>
      </c>
      <c r="B52" s="4638"/>
      <c r="C52" s="4638"/>
      <c r="D52" s="4638"/>
      <c r="E52" s="4638"/>
      <c r="F52" s="4638"/>
      <c r="G52" s="4638"/>
      <c r="H52" s="4638"/>
      <c r="I52" s="4638"/>
      <c r="J52" s="4638"/>
    </row>
    <row r="53" spans="1:12" ht="3" customHeight="1">
      <c r="A53" s="1190"/>
      <c r="B53" s="1190"/>
      <c r="C53" s="1190"/>
      <c r="D53" s="1190"/>
      <c r="E53" s="1190"/>
      <c r="F53" s="1190"/>
      <c r="G53" s="1190"/>
      <c r="H53" s="1190"/>
      <c r="I53" s="1190"/>
      <c r="J53" s="1190"/>
    </row>
    <row r="54" spans="1:12" ht="56.25" customHeight="1">
      <c r="A54" s="4638" t="s">
        <v>3367</v>
      </c>
      <c r="B54" s="4638"/>
      <c r="C54" s="4638"/>
      <c r="D54" s="4638"/>
      <c r="E54" s="4638"/>
      <c r="F54" s="4638"/>
      <c r="G54" s="4638"/>
      <c r="H54" s="4638"/>
      <c r="I54" s="4638"/>
      <c r="J54" s="4638"/>
    </row>
    <row r="55" spans="1:12" ht="3" customHeight="1">
      <c r="A55" s="1190"/>
      <c r="B55" s="1190"/>
      <c r="C55" s="1190"/>
      <c r="D55" s="1190"/>
      <c r="E55" s="1190"/>
      <c r="F55" s="1190"/>
      <c r="G55" s="1190"/>
      <c r="H55" s="1190"/>
      <c r="I55" s="1190"/>
      <c r="J55" s="1190"/>
    </row>
    <row r="56" spans="1:12" ht="49.5" customHeight="1">
      <c r="A56" s="4638" t="s">
        <v>3368</v>
      </c>
      <c r="B56" s="4638"/>
      <c r="C56" s="4638"/>
      <c r="D56" s="4638"/>
      <c r="E56" s="4638"/>
      <c r="F56" s="4638"/>
      <c r="G56" s="4638"/>
      <c r="H56" s="4638"/>
      <c r="I56" s="4638"/>
      <c r="J56" s="1190"/>
    </row>
    <row r="57" spans="1:12" ht="3" customHeight="1">
      <c r="A57" s="1190"/>
      <c r="B57" s="1190"/>
      <c r="C57" s="1190"/>
      <c r="D57" s="1190"/>
      <c r="E57" s="1190"/>
      <c r="F57" s="1190"/>
      <c r="G57" s="1190"/>
      <c r="H57" s="1190"/>
      <c r="I57" s="1190"/>
      <c r="J57" s="1190"/>
    </row>
    <row r="58" spans="1:12" ht="54.75" customHeight="1">
      <c r="A58" s="4652" t="s">
        <v>2889</v>
      </c>
      <c r="B58" s="4638"/>
      <c r="C58" s="4638"/>
      <c r="D58" s="4638"/>
      <c r="E58" s="4638"/>
      <c r="F58" s="4638"/>
      <c r="G58" s="4638"/>
      <c r="H58" s="4638"/>
      <c r="I58" s="4638"/>
      <c r="J58" s="1190"/>
    </row>
    <row r="59" spans="1:12" ht="3" customHeight="1">
      <c r="A59" s="1190"/>
      <c r="B59" s="1190"/>
      <c r="C59" s="1190"/>
      <c r="D59" s="1190"/>
      <c r="E59" s="1190"/>
      <c r="F59" s="1190"/>
      <c r="G59" s="1190"/>
      <c r="H59" s="1190"/>
      <c r="I59" s="1190"/>
      <c r="J59" s="1190"/>
    </row>
    <row r="60" spans="1:12" ht="62.25" customHeight="1">
      <c r="A60" s="4638" t="s">
        <v>3369</v>
      </c>
      <c r="B60" s="4638"/>
      <c r="C60" s="4638"/>
      <c r="D60" s="4638"/>
      <c r="E60" s="4638"/>
      <c r="F60" s="4638"/>
      <c r="G60" s="4638"/>
      <c r="H60" s="4638"/>
      <c r="I60" s="4638"/>
      <c r="J60" s="4638"/>
    </row>
    <row r="61" spans="1:12" ht="3" customHeight="1"/>
    <row r="62" spans="1:12" ht="73.5" customHeight="1">
      <c r="A62" s="4638" t="s">
        <v>3370</v>
      </c>
      <c r="B62" s="4638"/>
      <c r="C62" s="4638"/>
      <c r="D62" s="4638"/>
      <c r="E62" s="4638"/>
      <c r="F62" s="4638"/>
      <c r="G62" s="4638"/>
      <c r="H62" s="4638"/>
      <c r="I62" s="4638"/>
      <c r="J62" s="4638"/>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53" t="s">
        <v>2602</v>
      </c>
      <c r="B65" s="4653"/>
      <c r="C65" s="4653"/>
      <c r="D65" s="4653"/>
      <c r="E65" s="4653"/>
      <c r="F65" s="4653"/>
      <c r="G65" s="4653"/>
      <c r="H65" s="4653"/>
      <c r="I65" s="4653"/>
      <c r="J65" s="4653"/>
      <c r="L65" s="521">
        <f>'Closing term sheet'!C135</f>
        <v>849214</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12294558 via the syndication of the 2024 Federal LIHTC allocation of 1350000 per annum. will make a capital contribution totaling 7684200 via the syndication of the 2024 State LIHTC allocation of 1350000 per annum.</v>
      </c>
      <c r="B67" s="4638"/>
      <c r="C67" s="4638"/>
      <c r="D67" s="4638"/>
      <c r="E67" s="4638"/>
      <c r="F67" s="4638"/>
      <c r="G67" s="4638"/>
      <c r="H67" s="4638"/>
      <c r="I67" s="4638"/>
      <c r="J67" s="526"/>
      <c r="L67" s="2389">
        <f>'Part II-Sources of Funds'!I51</f>
        <v>12294558</v>
      </c>
      <c r="M67" s="2390">
        <f>'Part III-A-Uses of Funds'!$J$191</f>
        <v>1350000</v>
      </c>
      <c r="N67" s="2391">
        <f>'Part III-A-Uses of Funds'!N182</f>
        <v>0.92</v>
      </c>
      <c r="O67" s="2389">
        <f>'Part II-Sources of Funds'!I52</f>
        <v>7684200</v>
      </c>
      <c r="P67" s="2390">
        <f>M67</f>
        <v>1350000</v>
      </c>
      <c r="Q67" s="2391">
        <f>'Part III-A-Uses of Funds'!Q182</f>
        <v>0.56000000000000005</v>
      </c>
    </row>
    <row r="68" spans="1:17" ht="39.75" customHeight="1">
      <c r="A68" s="464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(0.92 Federal tax credit and 0.56 State tax credit) for a (X%) ownership interest of the Federal Credits and a (X%) ownership interest of the State Credits. </v>
      </c>
      <c r="B68" s="4642"/>
      <c r="C68" s="4642"/>
      <c r="D68" s="4642"/>
      <c r="E68" s="4642"/>
      <c r="F68" s="4642"/>
      <c r="G68" s="4642"/>
      <c r="H68" s="4642"/>
      <c r="I68" s="4642"/>
      <c r="J68" s="526"/>
      <c r="L68" s="1466"/>
      <c r="M68" s="1466"/>
      <c r="N68" s="623"/>
      <c r="O68" s="1466"/>
      <c r="P68" s="1466"/>
      <c r="Q68" s="623"/>
    </row>
    <row r="69" spans="1:17" ht="18.75" customHeight="1">
      <c r="A69" s="527" t="s">
        <v>2603</v>
      </c>
    </row>
    <row r="70" spans="1:17" ht="177" customHeight="1">
      <c r="A70" s="4638" t="s">
        <v>4950</v>
      </c>
      <c r="B70" s="4638"/>
      <c r="C70" s="4638"/>
      <c r="D70" s="4638"/>
      <c r="E70" s="4638"/>
      <c r="F70" s="4638"/>
      <c r="G70" s="4638"/>
      <c r="H70" s="4638"/>
      <c r="I70" s="4638"/>
      <c r="J70" s="4638"/>
      <c r="L70" s="528">
        <f>'Part VI-Pro Forma'!K72</f>
        <v>4235330.2672176417</v>
      </c>
      <c r="M70" s="4654" t="s">
        <v>3013</v>
      </c>
      <c r="N70" s="4655"/>
    </row>
    <row r="71" spans="1:17" ht="6" customHeight="1">
      <c r="A71" s="519"/>
    </row>
    <row r="72" spans="1:17" ht="15">
      <c r="A72" s="519" t="s">
        <v>2604</v>
      </c>
    </row>
    <row r="73" spans="1:17" ht="72.599999999999994" customHeight="1">
      <c r="A73" s="4638" t="s">
        <v>2605</v>
      </c>
      <c r="B73" s="4638"/>
      <c r="C73" s="4638"/>
      <c r="D73" s="4638"/>
      <c r="E73" s="4638"/>
      <c r="F73" s="4638"/>
      <c r="G73" s="4638"/>
      <c r="H73" s="4638"/>
      <c r="I73" s="4638"/>
      <c r="J73" s="4638"/>
    </row>
    <row r="74" spans="1:17" ht="36" customHeight="1">
      <c r="A74" s="4638" t="s">
        <v>2606</v>
      </c>
      <c r="B74" s="4638"/>
      <c r="C74" s="4638"/>
      <c r="D74" s="4638"/>
      <c r="E74" s="4638"/>
      <c r="F74" s="4638"/>
      <c r="G74" s="4638"/>
      <c r="H74" s="4638"/>
      <c r="I74" s="4638"/>
      <c r="J74" s="4638"/>
    </row>
    <row r="75" spans="1:17" ht="6" customHeight="1">
      <c r="A75" s="519"/>
    </row>
    <row r="76" spans="1:17" ht="15">
      <c r="A76" s="519" t="s">
        <v>2607</v>
      </c>
    </row>
    <row r="77" spans="1:17" ht="105.75" customHeight="1">
      <c r="A77" s="4638" t="s">
        <v>2608</v>
      </c>
      <c r="B77" s="4638"/>
      <c r="C77" s="4638"/>
      <c r="D77" s="4638"/>
      <c r="E77" s="4638"/>
      <c r="F77" s="4638"/>
      <c r="G77" s="4638"/>
      <c r="H77" s="4638"/>
      <c r="I77" s="4638"/>
      <c r="J77" s="4638"/>
    </row>
    <row r="78" spans="1:17" ht="6" customHeight="1">
      <c r="A78" s="519"/>
    </row>
    <row r="79" spans="1:17" ht="15">
      <c r="A79" s="519" t="s">
        <v>2609</v>
      </c>
    </row>
    <row r="80" spans="1:17" ht="66" customHeight="1">
      <c r="A80" s="4638" t="s">
        <v>2610</v>
      </c>
      <c r="B80" s="4638"/>
      <c r="C80" s="4638"/>
      <c r="D80" s="4638"/>
      <c r="E80" s="4638"/>
      <c r="F80" s="4638"/>
      <c r="G80" s="4638"/>
      <c r="H80" s="4638"/>
      <c r="I80" s="4638"/>
      <c r="J80" s="4638"/>
    </row>
    <row r="81" spans="1:15" s="1192" customFormat="1" ht="6" customHeight="1">
      <c r="A81" s="4638"/>
      <c r="B81" s="4638"/>
      <c r="C81" s="4638"/>
      <c r="D81" s="4638"/>
      <c r="E81" s="4638"/>
      <c r="F81" s="4638"/>
      <c r="G81" s="4638"/>
      <c r="H81" s="4638"/>
      <c r="I81" s="4638"/>
      <c r="J81" s="4638"/>
    </row>
    <row r="82" spans="1:15" ht="16.5" customHeight="1">
      <c r="A82" s="1193" t="s">
        <v>2611</v>
      </c>
      <c r="B82" s="518"/>
      <c r="C82" s="518"/>
      <c r="D82" s="1003"/>
      <c r="E82" s="518"/>
      <c r="F82" s="518"/>
      <c r="G82" s="518"/>
      <c r="H82" s="518"/>
      <c r="I82" s="518"/>
      <c r="J82" s="529"/>
    </row>
    <row r="83" spans="1:15" s="1192" customFormat="1" ht="63" customHeight="1">
      <c r="A83" s="4638" t="s">
        <v>3541</v>
      </c>
      <c r="B83" s="4638"/>
      <c r="C83" s="4638"/>
      <c r="D83" s="4638"/>
      <c r="E83" s="4638"/>
      <c r="F83" s="4638"/>
      <c r="G83" s="4638"/>
      <c r="H83" s="4638"/>
      <c r="I83" s="4638"/>
      <c r="J83" s="4638"/>
    </row>
    <row r="84" spans="1:15" s="1192" customFormat="1" ht="6" customHeight="1">
      <c r="A84" s="1190"/>
      <c r="B84" s="1190"/>
      <c r="C84" s="1190"/>
      <c r="D84" s="1190"/>
      <c r="E84" s="1190"/>
      <c r="F84" s="1190"/>
      <c r="G84" s="1190"/>
      <c r="H84" s="1190"/>
      <c r="I84" s="1190"/>
      <c r="J84" s="1190"/>
    </row>
    <row r="85" spans="1:15" ht="16.5" customHeight="1">
      <c r="A85" s="4657" t="s">
        <v>2612</v>
      </c>
      <c r="B85" s="4658"/>
      <c r="C85" s="4658"/>
      <c r="D85" s="518"/>
      <c r="E85" s="518"/>
      <c r="F85" s="518"/>
      <c r="G85" s="518"/>
      <c r="H85" s="518"/>
      <c r="I85" s="518"/>
      <c r="J85" s="529"/>
    </row>
    <row r="86" spans="1:15" ht="41.25" customHeight="1">
      <c r="A86" s="4638" t="s">
        <v>4951</v>
      </c>
      <c r="B86" s="4659"/>
      <c r="C86" s="4659"/>
      <c r="D86" s="4659"/>
      <c r="E86" s="4659"/>
      <c r="F86" s="4659"/>
      <c r="G86" s="4659"/>
      <c r="H86" s="4659"/>
      <c r="I86" s="4659"/>
      <c r="J86" s="4659"/>
    </row>
    <row r="87" spans="1:15" ht="6" customHeight="1">
      <c r="A87" s="530"/>
      <c r="B87" s="518"/>
      <c r="C87" s="518"/>
      <c r="D87" s="518"/>
      <c r="E87" s="518"/>
      <c r="F87" s="518"/>
      <c r="G87" s="518"/>
      <c r="H87" s="518"/>
      <c r="I87" s="518"/>
      <c r="J87" s="529"/>
    </row>
    <row r="88" spans="1:15" ht="15">
      <c r="A88" s="519" t="s">
        <v>2613</v>
      </c>
    </row>
    <row r="89" spans="1:15" ht="124.15" customHeight="1">
      <c r="A89" s="4638" t="s">
        <v>2614</v>
      </c>
      <c r="B89" s="4638"/>
      <c r="C89" s="4638"/>
      <c r="D89" s="4638"/>
      <c r="E89" s="4638"/>
      <c r="F89" s="4638"/>
      <c r="G89" s="4638"/>
      <c r="H89" s="4638"/>
      <c r="I89" s="4638"/>
      <c r="J89" s="4638"/>
      <c r="L89" s="4655" t="s">
        <v>2615</v>
      </c>
      <c r="M89" s="4655"/>
      <c r="N89" s="4655"/>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8" t="s">
        <v>2617</v>
      </c>
      <c r="B92" s="4638"/>
      <c r="C92" s="4638"/>
      <c r="D92" s="4638"/>
      <c r="E92" s="4638"/>
      <c r="F92" s="4638"/>
      <c r="G92" s="4638"/>
      <c r="H92" s="4638"/>
      <c r="I92" s="4638"/>
      <c r="J92" s="4638"/>
      <c r="L92" s="4655" t="s">
        <v>2618</v>
      </c>
      <c r="M92" s="4655"/>
      <c r="N92" s="531" t="e">
        <f>'After-Tax Analysis'!G66</f>
        <v>#VALUE!</v>
      </c>
      <c r="O92" s="532" t="s">
        <v>2619</v>
      </c>
    </row>
    <row r="93" spans="1:15" ht="6" customHeight="1">
      <c r="A93" s="519"/>
    </row>
    <row r="94" spans="1:15" ht="15">
      <c r="A94" s="519" t="s">
        <v>2620</v>
      </c>
    </row>
    <row r="95" spans="1:15" ht="118.5" customHeight="1">
      <c r="A95" s="4638" t="s">
        <v>2621</v>
      </c>
      <c r="B95" s="4638"/>
      <c r="C95" s="4638"/>
      <c r="D95" s="4638"/>
      <c r="E95" s="4638"/>
      <c r="F95" s="4638"/>
      <c r="G95" s="4638"/>
      <c r="H95" s="4638"/>
      <c r="I95" s="4638"/>
      <c r="J95" s="4638"/>
    </row>
    <row r="96" spans="1:15" ht="20.25" customHeight="1">
      <c r="A96" s="4640" t="s">
        <v>2622</v>
      </c>
      <c r="B96" s="4640"/>
      <c r="C96" s="4640"/>
      <c r="D96" s="4638"/>
      <c r="E96" s="1190"/>
      <c r="F96" s="1190"/>
      <c r="G96" s="1190"/>
      <c r="H96" s="1190"/>
      <c r="I96" s="1190"/>
      <c r="J96" s="1190"/>
    </row>
    <row r="97" spans="1:14" ht="109.5" customHeight="1">
      <c r="A97" s="4650" t="s">
        <v>2623</v>
      </c>
      <c r="B97" s="4651"/>
      <c r="C97" s="4651"/>
      <c r="D97" s="4651"/>
      <c r="E97" s="4651"/>
      <c r="F97" s="4651"/>
      <c r="G97" s="4651"/>
      <c r="H97" s="4651"/>
      <c r="I97" s="4651"/>
      <c r="J97" s="4651"/>
    </row>
    <row r="98" spans="1:14" ht="11.25" customHeight="1">
      <c r="A98" s="519"/>
    </row>
    <row r="99" spans="1:14" ht="15">
      <c r="A99" s="519" t="s">
        <v>2624</v>
      </c>
    </row>
    <row r="100" spans="1:14" ht="110.65" customHeight="1">
      <c r="A100" s="4653" t="s">
        <v>2625</v>
      </c>
      <c r="B100" s="4653"/>
      <c r="C100" s="4653"/>
      <c r="D100" s="4653"/>
      <c r="E100" s="4653"/>
      <c r="F100" s="4653"/>
      <c r="G100" s="4653"/>
      <c r="H100" s="4653"/>
      <c r="I100" s="4653"/>
      <c r="J100" s="4653"/>
      <c r="L100" s="959">
        <f>'Part VI-Pro Forma'!K72</f>
        <v>4235330.2672176417</v>
      </c>
      <c r="M100" s="4656" t="s">
        <v>2626</v>
      </c>
      <c r="N100" s="4656"/>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0" t="s">
        <v>2627</v>
      </c>
      <c r="B104" s="4640"/>
      <c r="C104" s="4640"/>
      <c r="D104" s="1190"/>
      <c r="E104" s="1190"/>
      <c r="F104" s="1190"/>
      <c r="G104" s="1190"/>
      <c r="H104" s="1190"/>
      <c r="I104" s="1190"/>
      <c r="J104" s="529"/>
    </row>
    <row r="105" spans="1:14" ht="37.5" customHeight="1">
      <c r="A105" s="4638" t="s">
        <v>2628</v>
      </c>
      <c r="B105" s="4638"/>
      <c r="C105" s="4638"/>
      <c r="D105" s="4638"/>
      <c r="E105" s="4638"/>
      <c r="F105" s="4638"/>
      <c r="G105" s="4638"/>
      <c r="H105" s="4638"/>
      <c r="I105" s="4638"/>
      <c r="J105" s="4638"/>
    </row>
    <row r="106" spans="1:14" ht="6" customHeight="1">
      <c r="A106" s="519"/>
    </row>
    <row r="107" spans="1:14" ht="15">
      <c r="A107" s="519" t="s">
        <v>2629</v>
      </c>
    </row>
    <row r="108" spans="1:14" ht="43.5" customHeight="1">
      <c r="A108" s="4638" t="s">
        <v>2630</v>
      </c>
      <c r="B108" s="4638"/>
      <c r="C108" s="4638"/>
      <c r="D108" s="4638"/>
      <c r="E108" s="4638"/>
      <c r="F108" s="4638"/>
      <c r="G108" s="4638"/>
      <c r="H108" s="4638"/>
      <c r="I108" s="4638"/>
      <c r="J108" s="4638"/>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48" t="s">
        <v>3967</v>
      </c>
      <c r="B120" s="4648"/>
      <c r="C120" s="4648"/>
      <c r="D120" s="4648"/>
      <c r="E120" s="4649"/>
      <c r="F120" s="1403" t="s">
        <v>3968</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Redland Trace</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5"/>
      <c r="D7" s="556"/>
      <c r="E7" s="556"/>
      <c r="F7" s="565" t="s">
        <v>2891</v>
      </c>
      <c r="G7" s="556"/>
      <c r="H7" s="466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3"/>
      <c r="J7" s="4663"/>
      <c r="K7" s="4663"/>
      <c r="L7" s="556"/>
      <c r="M7" s="504"/>
    </row>
    <row r="8" spans="1:14" ht="15.75">
      <c r="A8" s="565" t="s">
        <v>2639</v>
      </c>
      <c r="B8" s="565"/>
      <c r="C8" s="4663" t="str">
        <f>'Part I-Project Identification'!$F$26</f>
        <v>Redland Trace</v>
      </c>
      <c r="D8" s="4663"/>
      <c r="E8" s="1886" t="str">
        <f>'Part I-Project Identification'!$O$7</f>
        <v>2024-0</v>
      </c>
      <c r="F8" s="565" t="s">
        <v>2640</v>
      </c>
      <c r="G8" s="556"/>
      <c r="H8" s="4663" t="str">
        <f>CONCATENATE('Part I-Project Identification'!$F$27,", ",'Part I-Project Identification'!$J$27)</f>
        <v>Lawrenceville, Gwinnett</v>
      </c>
      <c r="I8" s="4663"/>
      <c r="J8" s="4663"/>
      <c r="K8" s="4663"/>
      <c r="L8" s="556"/>
      <c r="M8" s="538"/>
    </row>
    <row r="9" spans="1:14" ht="15.75">
      <c r="A9" s="565" t="s">
        <v>2642</v>
      </c>
      <c r="B9" s="565"/>
      <c r="C9" s="4663" t="s">
        <v>1641</v>
      </c>
      <c r="D9" s="4663"/>
      <c r="E9" s="556"/>
      <c r="F9" s="565" t="s">
        <v>2643</v>
      </c>
      <c r="G9" s="556"/>
      <c r="H9" s="4672"/>
      <c r="I9" s="4672"/>
      <c r="J9" s="4672"/>
      <c r="K9" s="4672"/>
      <c r="L9" s="4672"/>
      <c r="M9" s="538"/>
    </row>
    <row r="10" spans="1:14" ht="15.75">
      <c r="A10" s="565" t="s">
        <v>2645</v>
      </c>
      <c r="B10" s="556"/>
      <c r="C10" s="4673"/>
      <c r="D10" s="4673"/>
      <c r="E10" s="556"/>
      <c r="F10" s="565" t="s">
        <v>3047</v>
      </c>
      <c r="G10" s="556"/>
      <c r="H10" s="4668"/>
      <c r="I10" s="4668"/>
      <c r="J10" s="4668"/>
      <c r="K10" s="4668"/>
      <c r="L10" s="4668"/>
    </row>
    <row r="11" spans="1:14" ht="15.75">
      <c r="A11" s="565" t="s">
        <v>2646</v>
      </c>
      <c r="B11" s="556"/>
      <c r="C11" s="4667"/>
      <c r="D11" s="4667"/>
      <c r="E11" s="1900"/>
      <c r="F11" s="565" t="s">
        <v>605</v>
      </c>
      <c r="G11" s="556"/>
      <c r="H11" s="4668"/>
      <c r="I11" s="4668"/>
      <c r="J11" s="4668"/>
      <c r="K11" s="4668"/>
      <c r="L11" s="4668"/>
      <c r="M11" s="4669"/>
      <c r="N11" s="4670"/>
    </row>
    <row r="12" spans="1:14" ht="15.75">
      <c r="A12" s="565" t="s">
        <v>2647</v>
      </c>
      <c r="B12" s="556"/>
      <c r="C12" s="4667"/>
      <c r="D12" s="4667"/>
      <c r="E12" s="556"/>
      <c r="F12" s="565" t="s">
        <v>2648</v>
      </c>
      <c r="G12" s="556"/>
      <c r="H12" s="4667"/>
      <c r="I12" s="4667"/>
      <c r="J12" s="4667"/>
      <c r="K12" s="4667"/>
      <c r="L12" s="4667"/>
      <c r="M12" s="504"/>
    </row>
    <row r="13" spans="1:14" ht="15.75">
      <c r="A13" s="565" t="s">
        <v>2649</v>
      </c>
      <c r="B13" s="565"/>
      <c r="C13" s="1887">
        <f>'Part V-Revenues &amp; Expenses'!$P$67</f>
        <v>80</v>
      </c>
      <c r="D13" s="26"/>
      <c r="E13" s="1888">
        <f>'Part V-Revenues &amp; Expenses'!$P$63</f>
        <v>60</v>
      </c>
      <c r="F13" s="565" t="s">
        <v>3364</v>
      </c>
      <c r="G13" s="556"/>
      <c r="H13" s="1898"/>
      <c r="I13" s="1890"/>
      <c r="J13" s="1890"/>
      <c r="K13" s="1889">
        <f>'Part V-Revenues &amp; Expenses'!$K$179</f>
        <v>94735</v>
      </c>
      <c r="L13" s="556"/>
      <c r="M13" s="504"/>
    </row>
    <row r="14" spans="1:14" ht="15.75">
      <c r="A14" s="565" t="s">
        <v>2883</v>
      </c>
      <c r="B14" s="556"/>
      <c r="C14" s="1889" t="str">
        <f>'Part VII-Threshold Criteria OLD'!J35</f>
        <v>&lt;&lt; Select PROPOSED Tenancy &gt;&gt;</v>
      </c>
      <c r="D14" s="4663" t="str">
        <f>IF('Part VII-Threshold Criteria OLD'!$N$35=0,"",'Part VII-Threshold Criteria OLD'!$N$35)</f>
        <v/>
      </c>
      <c r="E14" s="4663"/>
      <c r="F14" s="565" t="s">
        <v>2650</v>
      </c>
      <c r="G14" s="556"/>
      <c r="H14" s="4671" t="s">
        <v>3015</v>
      </c>
      <c r="I14" s="4671"/>
      <c r="J14" s="4671"/>
      <c r="K14" s="4671" t="s">
        <v>3015</v>
      </c>
      <c r="L14" s="4671"/>
      <c r="M14" s="504"/>
    </row>
    <row r="15" spans="1:14" ht="15.75">
      <c r="A15" s="565" t="s">
        <v>2651</v>
      </c>
      <c r="B15" s="556"/>
      <c r="C15" s="1891" t="s">
        <v>1641</v>
      </c>
      <c r="D15" s="556"/>
      <c r="E15" s="556"/>
      <c r="F15" s="565" t="s">
        <v>2884</v>
      </c>
      <c r="G15" s="556"/>
      <c r="H15" s="1886" t="str">
        <f>'Part I-Project Identification'!K29</f>
        <v>Urban</v>
      </c>
      <c r="I15" s="556"/>
      <c r="J15" s="556"/>
      <c r="K15" s="556"/>
      <c r="L15" s="556"/>
      <c r="M15" s="504"/>
    </row>
    <row r="16" spans="1:14" ht="15.75">
      <c r="A16" s="565" t="s">
        <v>3042</v>
      </c>
      <c r="B16" s="556"/>
      <c r="C16" s="1886">
        <f>'Part VIII Scoring Criteria OLD'!$P$42</f>
        <v>0</v>
      </c>
      <c r="D16" s="1892" t="s">
        <v>2437</v>
      </c>
      <c r="E16" s="1886">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3">
        <f>'Part III-A-Uses of Funds'!$G$146</f>
        <v>27055140</v>
      </c>
      <c r="D18" s="1894">
        <f>IF(C18=0,"",$C$29/C18)</f>
        <v>0.19220007732356956</v>
      </c>
      <c r="E18" s="556" t="s">
        <v>2887</v>
      </c>
      <c r="F18" s="565" t="s">
        <v>4640</v>
      </c>
      <c r="G18" s="556"/>
      <c r="H18" s="4662">
        <f>'Part III-A-Uses of Funds'!$C$49</f>
        <v>17299500</v>
      </c>
      <c r="I18" s="4662"/>
      <c r="J18" s="1895">
        <f>IF(H18=0,"",$C$29/H18)</f>
        <v>0.30058672215959997</v>
      </c>
      <c r="K18" s="4663" t="s">
        <v>2888</v>
      </c>
      <c r="L18" s="4663"/>
      <c r="M18" s="504"/>
    </row>
    <row r="19" spans="1:13" ht="15.75">
      <c r="A19" s="565" t="s">
        <v>2652</v>
      </c>
      <c r="B19" s="556"/>
      <c r="C19" s="1896">
        <f>C18/C13</f>
        <v>338189.25</v>
      </c>
      <c r="D19" s="556"/>
      <c r="E19" s="556"/>
      <c r="F19" s="565" t="s">
        <v>2652</v>
      </c>
      <c r="G19" s="556"/>
      <c r="H19" s="4664">
        <f>H18/C13</f>
        <v>216243.75</v>
      </c>
      <c r="I19" s="4664"/>
      <c r="J19" s="556"/>
      <c r="K19" s="556"/>
      <c r="L19" s="556"/>
      <c r="M19" s="504"/>
    </row>
    <row r="20" spans="1:13" ht="15.75">
      <c r="A20" s="565" t="s">
        <v>2653</v>
      </c>
      <c r="B20" s="556"/>
      <c r="C20" s="1886">
        <f>C18/K13</f>
        <v>285.58758642529159</v>
      </c>
      <c r="D20" s="1897"/>
      <c r="E20" s="1897"/>
      <c r="F20" s="565" t="s">
        <v>2653</v>
      </c>
      <c r="G20" s="556"/>
      <c r="H20" s="4663">
        <f>H18/K13</f>
        <v>182.60938407135694</v>
      </c>
      <c r="I20" s="4664"/>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Specialty Finance Group</v>
      </c>
      <c r="C25" s="543">
        <f>'Part II-Sources of Funds'!I40</f>
        <v>5200000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4">
        <f>SUM(C25:C27)</f>
        <v>5200000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19978758</v>
      </c>
      <c r="D30" s="504"/>
      <c r="E30" s="504"/>
      <c r="F30" s="504"/>
      <c r="G30" s="504"/>
      <c r="H30" s="504"/>
      <c r="I30" s="504"/>
      <c r="K30" s="548"/>
      <c r="L30" s="504"/>
      <c r="M30" s="504"/>
    </row>
    <row r="31" spans="1:13" ht="15">
      <c r="A31" s="549" t="s">
        <v>2664</v>
      </c>
      <c r="B31" s="542" t="str">
        <f>'Part II-Sources of Funds'!E41</f>
        <v>Gwinnett SFLRF</v>
      </c>
      <c r="C31" s="543">
        <f>'Part II-Sources of Funds'!I41</f>
        <v>1594810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1594810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6794810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0.25114673219210842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0.39277493569178301</v>
      </c>
      <c r="D40" s="504"/>
      <c r="E40" s="504"/>
      <c r="F40" s="507"/>
      <c r="G40" s="507" t="s">
        <v>2673</v>
      </c>
      <c r="H40" s="504"/>
      <c r="I40" s="504"/>
      <c r="K40" s="545">
        <f>C30/C18</f>
        <v>0.73844592931324693</v>
      </c>
      <c r="L40" s="504"/>
      <c r="M40" s="504"/>
    </row>
    <row r="46" spans="1:13" ht="15.75">
      <c r="A46" s="540" t="s">
        <v>2674</v>
      </c>
      <c r="B46" s="534"/>
      <c r="C46" s="534"/>
      <c r="D46" s="534"/>
      <c r="E46" s="534"/>
      <c r="F46" s="534"/>
      <c r="G46" s="534"/>
      <c r="H46" s="534"/>
      <c r="I46" s="534"/>
      <c r="J46" s="534"/>
      <c r="K46" s="534"/>
      <c r="L46" s="534"/>
      <c r="M46" s="504"/>
    </row>
    <row r="47" spans="1:13" ht="15.75">
      <c r="A47" s="540" t="str">
        <f>C8</f>
        <v>Redland Trace</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65" t="s">
        <v>2677</v>
      </c>
      <c r="L50" s="4666"/>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1238640</v>
      </c>
      <c r="D52" s="557"/>
      <c r="E52" s="557">
        <f>$C$52</f>
        <v>1238640</v>
      </c>
      <c r="F52" s="557"/>
      <c r="G52" s="557">
        <f>$C$52</f>
        <v>1238640</v>
      </c>
      <c r="H52" s="557"/>
      <c r="I52" s="557">
        <f>$C$52</f>
        <v>1238640</v>
      </c>
      <c r="J52" s="557"/>
      <c r="K52" s="557">
        <f>$C$52</f>
        <v>1238640</v>
      </c>
      <c r="L52" s="558"/>
      <c r="M52"/>
      <c r="N52"/>
    </row>
    <row r="53" spans="1:14" s="504" customFormat="1" ht="18.75" customHeight="1">
      <c r="B53" s="556" t="s">
        <v>2681</v>
      </c>
      <c r="C53" s="557">
        <f>'Part VI-Pro Forma'!B16</f>
        <v>9600</v>
      </c>
      <c r="D53" s="557"/>
      <c r="E53" s="557">
        <f>$C$53</f>
        <v>9600</v>
      </c>
      <c r="F53" s="557"/>
      <c r="G53" s="557">
        <f>$C$53</f>
        <v>9600</v>
      </c>
      <c r="H53" s="557"/>
      <c r="I53" s="557">
        <f>$C$53</f>
        <v>9600</v>
      </c>
      <c r="J53" s="557"/>
      <c r="K53" s="557">
        <f>$C$53</f>
        <v>9600</v>
      </c>
      <c r="L53" s="558"/>
      <c r="M53"/>
      <c r="N53"/>
    </row>
    <row r="54" spans="1:14" s="504" customFormat="1" ht="18.75" customHeight="1">
      <c r="B54" s="556" t="s">
        <v>2679</v>
      </c>
      <c r="C54" s="557">
        <f>'Part VI-Pro Forma'!B17</f>
        <v>-87376.8</v>
      </c>
      <c r="D54" s="557"/>
      <c r="E54" s="557">
        <f>-($C$52+E53)*F50</f>
        <v>-124824</v>
      </c>
      <c r="F54" s="559"/>
      <c r="G54" s="557">
        <f>-($C$52+G53)*0.07</f>
        <v>-87376.8</v>
      </c>
      <c r="H54" s="557"/>
      <c r="I54" s="557">
        <f>-($C$52+I53)*0.07</f>
        <v>-87376.8</v>
      </c>
      <c r="J54" s="557"/>
      <c r="K54" s="557">
        <f>-($C$52+K53)*L54</f>
        <v>-124824</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1160863.2</v>
      </c>
      <c r="D56" s="557"/>
      <c r="E56" s="563">
        <f>SUM(E52:E55)</f>
        <v>1123416</v>
      </c>
      <c r="F56" s="557"/>
      <c r="G56" s="563">
        <f>SUM(G52:G55)</f>
        <v>1160863.2</v>
      </c>
      <c r="H56" s="557"/>
      <c r="I56" s="563">
        <f>SUM(I52:I55)</f>
        <v>1160863.2</v>
      </c>
      <c r="J56" s="557"/>
      <c r="K56" s="563">
        <f>SUM(K52:K55)</f>
        <v>1123416</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12500</v>
      </c>
      <c r="D58" s="557"/>
      <c r="E58" s="557">
        <f>$C$58</f>
        <v>12500</v>
      </c>
      <c r="F58" s="557"/>
      <c r="G58" s="557">
        <f>$C$58</f>
        <v>12500</v>
      </c>
      <c r="H58" s="557"/>
      <c r="I58" s="557">
        <f>$C$58</f>
        <v>12500</v>
      </c>
      <c r="J58" s="557"/>
      <c r="K58" s="557">
        <f>$C$58</f>
        <v>12500</v>
      </c>
      <c r="L58" s="558"/>
      <c r="M58"/>
      <c r="N58"/>
    </row>
    <row r="59" spans="1:14" s="504" customFormat="1" ht="18.75" customHeight="1">
      <c r="B59" s="556" t="s">
        <v>2684</v>
      </c>
      <c r="C59" s="557">
        <f>+'Part V-Revenues &amp; Expenses'!F248</f>
        <v>9000</v>
      </c>
      <c r="D59" s="557"/>
      <c r="E59" s="557">
        <f>$C$59</f>
        <v>9000</v>
      </c>
      <c r="F59" s="557"/>
      <c r="G59" s="557">
        <f>$C$59</f>
        <v>9000</v>
      </c>
      <c r="H59" s="557"/>
      <c r="I59" s="557">
        <f>$C$59</f>
        <v>9000</v>
      </c>
      <c r="J59" s="557"/>
      <c r="K59" s="557">
        <f>$C$59*(1+$L$59)</f>
        <v>9360</v>
      </c>
      <c r="L59" s="564">
        <v>0.04</v>
      </c>
      <c r="M59"/>
      <c r="N59"/>
    </row>
    <row r="60" spans="1:14" s="504" customFormat="1" ht="18.75" customHeight="1">
      <c r="B60" s="556" t="s">
        <v>1295</v>
      </c>
      <c r="C60" s="557">
        <f>+'Part V-Revenues &amp; Expenses'!L241</f>
        <v>7600</v>
      </c>
      <c r="D60" s="557"/>
      <c r="E60" s="557">
        <f>$C$60</f>
        <v>7600</v>
      </c>
      <c r="F60" s="557"/>
      <c r="G60" s="557">
        <f>$C$60</f>
        <v>7600</v>
      </c>
      <c r="H60" s="557"/>
      <c r="I60" s="557">
        <f>$C$60*(1+$J$50)</f>
        <v>7828</v>
      </c>
      <c r="J60" s="559"/>
      <c r="K60" s="557">
        <f>$C$60*(1+$J$50)</f>
        <v>7828</v>
      </c>
      <c r="L60" s="560">
        <v>0.03</v>
      </c>
      <c r="M60"/>
      <c r="N60"/>
    </row>
    <row r="61" spans="1:14" s="504" customFormat="1" ht="18.75" customHeight="1">
      <c r="B61" s="556" t="s">
        <v>1296</v>
      </c>
      <c r="C61" s="557">
        <f>+'Part V-Revenues &amp; Expenses'!L248</f>
        <v>114000</v>
      </c>
      <c r="D61" s="557"/>
      <c r="E61" s="557">
        <f>$C$61</f>
        <v>114000</v>
      </c>
      <c r="F61" s="557"/>
      <c r="G61" s="557">
        <f>$C$61*(1+H50)</f>
        <v>119700</v>
      </c>
      <c r="H61" s="559"/>
      <c r="I61" s="557">
        <f>$C$61</f>
        <v>114000</v>
      </c>
      <c r="J61" s="557"/>
      <c r="K61" s="557">
        <f>$C$61*(1+$L$61)</f>
        <v>119700</v>
      </c>
      <c r="L61" s="560">
        <v>0.05</v>
      </c>
      <c r="M61"/>
      <c r="N61"/>
    </row>
    <row r="62" spans="1:14" s="504" customFormat="1" ht="18.75" customHeight="1">
      <c r="B62" s="562" t="s">
        <v>2685</v>
      </c>
      <c r="C62" s="563">
        <f>SUM(C58:C61)</f>
        <v>143100</v>
      </c>
      <c r="D62" s="557"/>
      <c r="E62" s="563">
        <f>SUM(E58:E61)</f>
        <v>143100</v>
      </c>
      <c r="F62" s="557"/>
      <c r="G62" s="563">
        <f>SUM(G58:G61)</f>
        <v>148800</v>
      </c>
      <c r="H62" s="557"/>
      <c r="I62" s="563">
        <f>SUM(I58:I61)</f>
        <v>143328</v>
      </c>
      <c r="J62" s="557"/>
      <c r="K62" s="563">
        <f>SUM(K58:K61)</f>
        <v>149388</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1017763.2</v>
      </c>
      <c r="D64" s="566"/>
      <c r="E64" s="566">
        <f>E56-E62</f>
        <v>980316</v>
      </c>
      <c r="F64" s="566"/>
      <c r="G64" s="566">
        <f>G56-G62</f>
        <v>1012063.2</v>
      </c>
      <c r="H64" s="566"/>
      <c r="I64" s="566">
        <f>I56-I62</f>
        <v>1017535.2</v>
      </c>
      <c r="J64" s="566"/>
      <c r="K64" s="566">
        <f>K56-K62</f>
        <v>974028</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1017763.2</v>
      </c>
      <c r="D70" s="566"/>
      <c r="E70" s="569">
        <f>E64-E66-E68</f>
        <v>980316</v>
      </c>
      <c r="F70" s="566"/>
      <c r="G70" s="569">
        <f>G64-G66-G68</f>
        <v>1012063.2</v>
      </c>
      <c r="H70" s="566"/>
      <c r="I70" s="569">
        <f>I64-I66-I68</f>
        <v>1017535.2</v>
      </c>
      <c r="J70" s="566"/>
      <c r="K70" s="569">
        <f>K64-K66-K68</f>
        <v>974028</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2.5009427211222328</v>
      </c>
      <c r="D72" s="570"/>
      <c r="E72" s="986">
        <f>-E70/E75</f>
        <v>2.4089239663997115</v>
      </c>
      <c r="F72" s="570"/>
      <c r="G72" s="986">
        <f>-G70/G75</f>
        <v>2.4869361491510742</v>
      </c>
      <c r="H72" s="570"/>
      <c r="I72" s="986">
        <f>-I70/I75</f>
        <v>2.5003824582433865</v>
      </c>
      <c r="J72" s="570"/>
      <c r="K72" s="986">
        <f>-K70/K75</f>
        <v>2.3934725059515278</v>
      </c>
      <c r="L72" s="4"/>
      <c r="M72" s="10"/>
      <c r="N72" s="10"/>
    </row>
    <row r="73" spans="1:14" s="504" customFormat="1" ht="18.75" customHeight="1">
      <c r="A73"/>
      <c r="B73" s="556" t="s">
        <v>2691</v>
      </c>
      <c r="C73" s="987">
        <f>C76/C62</f>
        <v>4.268423318181501</v>
      </c>
      <c r="D73" s="571"/>
      <c r="E73" s="987">
        <f>E76/E62</f>
        <v>4.0067377835903057</v>
      </c>
      <c r="F73" s="571"/>
      <c r="G73" s="987">
        <f>G76/G62</f>
        <v>4.0666087152672903</v>
      </c>
      <c r="H73" s="571"/>
      <c r="I73" s="987">
        <f>I76/I62</f>
        <v>4.2600425376184186</v>
      </c>
      <c r="J73" s="571"/>
      <c r="K73" s="987">
        <f>K76/K62</f>
        <v>3.7959955072145872</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-406951.82316822727</v>
      </c>
      <c r="D75" s="557"/>
      <c r="E75" s="557">
        <f>$C$75</f>
        <v>-406951.82316822727</v>
      </c>
      <c r="F75" s="557"/>
      <c r="G75" s="557">
        <f>$C$75</f>
        <v>-406951.82316822727</v>
      </c>
      <c r="H75" s="557"/>
      <c r="I75" s="557">
        <f>$C$75</f>
        <v>-406951.82316822727</v>
      </c>
      <c r="J75" s="557"/>
      <c r="K75" s="557">
        <f>$C$75</f>
        <v>-406951.82316822727</v>
      </c>
      <c r="L75" s="26"/>
      <c r="M75"/>
      <c r="N75"/>
    </row>
    <row r="76" spans="1:14" s="504" customFormat="1" ht="18.75" customHeight="1">
      <c r="A76"/>
      <c r="B76" s="556" t="s">
        <v>1095</v>
      </c>
      <c r="C76" s="557">
        <f>C70+C75</f>
        <v>610811.37683177274</v>
      </c>
      <c r="D76" s="557"/>
      <c r="E76" s="557">
        <f>E70+E75</f>
        <v>573364.17683177278</v>
      </c>
      <c r="F76" s="557"/>
      <c r="G76" s="557">
        <f>G70+G75</f>
        <v>605111.37683177274</v>
      </c>
      <c r="H76" s="557"/>
      <c r="I76" s="557">
        <f>I70+I75</f>
        <v>610583.37683177274</v>
      </c>
      <c r="J76" s="557"/>
      <c r="K76" s="557">
        <f>K70+K75</f>
        <v>567076.17683177278</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3329</v>
      </c>
    </row>
    <row r="3" spans="1:7" ht="3" customHeight="1"/>
    <row r="4" spans="1:7">
      <c r="A4" s="940" t="s">
        <v>3330</v>
      </c>
      <c r="B4" s="941">
        <f>'Part III-A-Uses of Funds'!G146</f>
        <v>27055140</v>
      </c>
    </row>
    <row r="5" spans="1:7">
      <c r="A5" s="940" t="s">
        <v>3361</v>
      </c>
      <c r="B5" s="941">
        <f>+B18+B26+B38</f>
        <v>2992422.6173891337</v>
      </c>
    </row>
    <row r="6" spans="1:7">
      <c r="A6" s="940" t="s">
        <v>3331</v>
      </c>
      <c r="B6" s="942">
        <f>+B5-B4</f>
        <v>-24062717.382610865</v>
      </c>
    </row>
    <row r="7" spans="1:7">
      <c r="A7" s="940" t="s">
        <v>3332</v>
      </c>
      <c r="B7" s="943">
        <f>+B6/B4</f>
        <v>-0.88939541183711723</v>
      </c>
    </row>
    <row r="8" spans="1:7" ht="9" customHeight="1"/>
    <row r="9" spans="1:7">
      <c r="A9" s="940" t="s">
        <v>3333</v>
      </c>
      <c r="B9" s="941">
        <f>+B18+B26+B33</f>
        <v>2992422.6173891337</v>
      </c>
    </row>
    <row r="10" spans="1:7">
      <c r="A10" s="940" t="s">
        <v>3331</v>
      </c>
      <c r="B10" s="942">
        <f>+B9-B4</f>
        <v>-24062717.382610865</v>
      </c>
    </row>
    <row r="11" spans="1:7">
      <c r="A11" s="940" t="s">
        <v>3332</v>
      </c>
      <c r="B11" s="943">
        <f>+B10/B4</f>
        <v>-0.88939541183711723</v>
      </c>
    </row>
    <row r="12" spans="1:7" ht="24" customHeight="1"/>
    <row r="13" spans="1:7">
      <c r="A13" s="939" t="s">
        <v>3334</v>
      </c>
      <c r="D13" s="992" t="s">
        <v>3546</v>
      </c>
      <c r="E13" s="993"/>
    </row>
    <row r="14" spans="1:7">
      <c r="A14" s="940" t="s">
        <v>3335</v>
      </c>
      <c r="B14" s="944">
        <f>+SUM('Part II-Sources of Funds'!L51:M52)</f>
        <v>19980000</v>
      </c>
      <c r="D14" s="993"/>
      <c r="E14" s="993"/>
    </row>
    <row r="15" spans="1:7">
      <c r="A15" s="940" t="s">
        <v>3336</v>
      </c>
      <c r="B15" s="945">
        <f>+'Part III-A-Uses of Funds'!J180</f>
        <v>2026033</v>
      </c>
      <c r="D15" s="993" t="s">
        <v>1890</v>
      </c>
      <c r="G15" s="994">
        <f>'Part III-A-Uses of Funds'!J168</f>
        <v>17198535</v>
      </c>
    </row>
    <row r="16" spans="1:7" ht="12.75" customHeight="1">
      <c r="D16" s="993" t="s">
        <v>3547</v>
      </c>
      <c r="G16" s="998">
        <v>3.2800000000000003E-2</v>
      </c>
    </row>
    <row r="17" spans="1:7" ht="12.75" customHeight="1">
      <c r="A17" s="940" t="s">
        <v>3337</v>
      </c>
      <c r="B17" s="997">
        <v>1.45</v>
      </c>
      <c r="D17" s="993" t="s">
        <v>3548</v>
      </c>
      <c r="G17" s="999">
        <v>1.45</v>
      </c>
    </row>
    <row r="18" spans="1:7" ht="12.75" customHeight="1">
      <c r="A18" s="940" t="s">
        <v>3338</v>
      </c>
      <c r="B18" s="946">
        <f>+'Part III-A-Uses of Funds'!J190*B17*10</f>
        <v>0</v>
      </c>
      <c r="D18" s="993" t="s">
        <v>3549</v>
      </c>
      <c r="G18" s="999">
        <v>3.28</v>
      </c>
    </row>
    <row r="19" spans="1:7" ht="12.75" customHeight="1">
      <c r="D19" s="993" t="s">
        <v>3550</v>
      </c>
      <c r="G19" s="995">
        <f>+G15*G16*G17*10</f>
        <v>8179623.2460000003</v>
      </c>
    </row>
    <row r="20" spans="1:7">
      <c r="A20" s="940" t="s">
        <v>3339</v>
      </c>
      <c r="B20" s="944">
        <f>+B18-B14</f>
        <v>-19980000</v>
      </c>
      <c r="D20" s="993" t="s">
        <v>3551</v>
      </c>
      <c r="G20" s="996">
        <f>+B14-G19</f>
        <v>11800376.754000001</v>
      </c>
    </row>
    <row r="21" spans="1:7">
      <c r="A21" s="940" t="s">
        <v>3340</v>
      </c>
      <c r="B21" s="943">
        <f>+B20/B14</f>
        <v>-1</v>
      </c>
      <c r="D21" s="993" t="s">
        <v>3552</v>
      </c>
      <c r="G21" s="993" t="str">
        <f>+IF(G20&gt;(B28+B35),"No","Yes")</f>
        <v>No</v>
      </c>
    </row>
    <row r="22" spans="1:7" ht="24" customHeight="1"/>
    <row r="23" spans="1:7">
      <c r="A23" s="939" t="s">
        <v>3341</v>
      </c>
    </row>
    <row r="24" spans="1:7">
      <c r="A24" s="940" t="s">
        <v>3342</v>
      </c>
      <c r="B24" s="947">
        <f>+SUM('Part II-Sources of Funds'!I40:J43)</f>
        <v>6794810</v>
      </c>
    </row>
    <row r="25" spans="1:7">
      <c r="A25" s="940" t="s">
        <v>3343</v>
      </c>
      <c r="B25" s="948">
        <f>IF('Part II-Sources of Funds'!E6="Yes","N/A",MAX(B46:P46))</f>
        <v>81309.645434893668</v>
      </c>
    </row>
    <row r="26" spans="1:7">
      <c r="A26" s="940" t="s">
        <v>3344</v>
      </c>
      <c r="B26" s="938">
        <f>IFERROR(PV('Part II-Sources of Funds'!K40,'Part II-Sources of Funds'!L40,B25+B45),B24)</f>
        <v>2992422.6173891337</v>
      </c>
    </row>
    <row r="27" spans="1:7" ht="9" customHeight="1">
      <c r="B27" s="938"/>
    </row>
    <row r="28" spans="1:7">
      <c r="A28" s="940" t="s">
        <v>3345</v>
      </c>
      <c r="B28" s="949">
        <f>+B26-B24</f>
        <v>-3802387.3826108663</v>
      </c>
      <c r="C28" s="950"/>
    </row>
    <row r="29" spans="1:7">
      <c r="A29" s="940" t="s">
        <v>3340</v>
      </c>
      <c r="B29" s="951">
        <f>+B28/B24</f>
        <v>-0.55960172287538079</v>
      </c>
    </row>
    <row r="30" spans="1:7" ht="24" customHeight="1"/>
    <row r="31" spans="1:7">
      <c r="A31" s="939" t="s">
        <v>3275</v>
      </c>
    </row>
    <row r="32" spans="1:7">
      <c r="A32" s="940" t="s">
        <v>3346</v>
      </c>
      <c r="B32" s="952">
        <f>+'Part II-Sources of Funds'!I45</f>
        <v>281572</v>
      </c>
    </row>
    <row r="33" spans="1:11">
      <c r="A33" s="940" t="s">
        <v>3347</v>
      </c>
      <c r="B33" s="938"/>
    </row>
    <row r="34" spans="1:11" ht="9" customHeight="1">
      <c r="B34" s="938"/>
    </row>
    <row r="35" spans="1:11">
      <c r="A35" s="940" t="s">
        <v>3348</v>
      </c>
      <c r="B35" s="952">
        <f>+B33-B32</f>
        <v>-281572</v>
      </c>
    </row>
    <row r="36" spans="1:11">
      <c r="A36" s="940" t="s">
        <v>3349</v>
      </c>
      <c r="B36" s="937">
        <f>+B35/B32</f>
        <v>-1</v>
      </c>
    </row>
    <row r="37" spans="1:11" ht="24" customHeight="1">
      <c r="B37" s="938"/>
    </row>
    <row r="38" spans="1:11">
      <c r="A38" s="939" t="s">
        <v>3350</v>
      </c>
      <c r="B38" s="938">
        <f>+SUM('Part II-Sources of Funds'!I44,'Part II-Sources of Funds'!I49,'Part II-Sources of Funds'!I50,'Part II-Sources of Funds'!I53:I59)</f>
        <v>0</v>
      </c>
    </row>
    <row r="39" spans="1:11">
      <c r="B39" s="938"/>
    </row>
    <row r="40" spans="1:11">
      <c r="B40" s="938"/>
    </row>
    <row r="41" spans="1:11">
      <c r="B41" s="938"/>
    </row>
    <row r="42" spans="1:11">
      <c r="A42" s="939" t="s">
        <v>3351</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547028.19999999995</v>
      </c>
      <c r="C44" s="941">
        <f>+'Part VI-Pro Forma'!C25</f>
        <v>552295.46400000015</v>
      </c>
      <c r="D44" s="941">
        <f>+'Part VI-Pro Forma'!D25</f>
        <v>557497.41328000021</v>
      </c>
      <c r="E44" s="941">
        <f>+'Part VI-Pro Forma'!E25</f>
        <v>562627.01494559995</v>
      </c>
      <c r="F44" s="941">
        <f>+'Part VI-Pro Forma'!F25</f>
        <v>567679.96224651195</v>
      </c>
      <c r="G44" s="941">
        <f>+'Part VI-Pro Forma'!G25</f>
        <v>572647.66450350243</v>
      </c>
      <c r="H44" s="941">
        <f>+'Part VI-Pro Forma'!H25</f>
        <v>577522.23669599416</v>
      </c>
      <c r="I44" s="941">
        <f>+'Part VI-Pro Forma'!I25</f>
        <v>582297.48869940836</v>
      </c>
      <c r="J44" s="941">
        <f>+'Part VI-Pro Forma'!J25</f>
        <v>586965.91416097619</v>
      </c>
      <c r="K44" s="941">
        <f>+'Part VI-Pro Forma'!K25</f>
        <v>591516.67900240212</v>
      </c>
    </row>
    <row r="45" spans="1:11">
      <c r="A45" s="940" t="s">
        <v>3352</v>
      </c>
      <c r="B45" s="941">
        <f>SUM('Part VI-Pro Forma'!B26:B29)</f>
        <v>-406951.82316822727</v>
      </c>
      <c r="C45" s="941">
        <f>SUM('Part VI-Pro Forma'!C26:C29)</f>
        <v>-406951.82316822727</v>
      </c>
      <c r="D45" s="941">
        <f>SUM('Part VI-Pro Forma'!D26:D29)</f>
        <v>-545890.82316822722</v>
      </c>
      <c r="E45" s="941">
        <f>SUM('Part VI-Pro Forma'!E26:E29)</f>
        <v>-482214.58434611524</v>
      </c>
      <c r="F45" s="941">
        <f>SUM('Part VI-Pro Forma'!F26:F29)</f>
        <v>-484740.79107067297</v>
      </c>
      <c r="G45" s="941">
        <f>SUM('Part VI-Pro Forma'!G26:G29)</f>
        <v>-487224.51993475202</v>
      </c>
      <c r="H45" s="941">
        <f>SUM('Part VI-Pro Forma'!H26:H29)</f>
        <v>-489662.13132129324</v>
      </c>
      <c r="I45" s="941">
        <f>SUM('Part VI-Pro Forma'!I26:I29)</f>
        <v>-492049.82911910192</v>
      </c>
      <c r="J45" s="941">
        <f>SUM('Part VI-Pro Forma'!J26:J29)</f>
        <v>-494383.65508190903</v>
      </c>
      <c r="K45" s="941">
        <f>SUM('Part VI-Pro Forma'!K26:K29)</f>
        <v>-496659.48299928586</v>
      </c>
    </row>
    <row r="46" spans="1:11">
      <c r="A46" s="940" t="s">
        <v>3353</v>
      </c>
      <c r="B46" s="942">
        <f t="shared" ref="B46:K46" si="0">-B44/B48-B45</f>
        <v>-48905.010165106039</v>
      </c>
      <c r="C46" s="942">
        <f t="shared" si="0"/>
        <v>-53294.396831772872</v>
      </c>
      <c r="D46" s="942">
        <f t="shared" si="0"/>
        <v>81309.645434893668</v>
      </c>
      <c r="E46" s="942">
        <f t="shared" si="0"/>
        <v>13358.738558115263</v>
      </c>
      <c r="F46" s="942">
        <f t="shared" si="0"/>
        <v>11674.155865246314</v>
      </c>
      <c r="G46" s="942">
        <f t="shared" si="0"/>
        <v>10018.132848499983</v>
      </c>
      <c r="H46" s="942">
        <f t="shared" si="0"/>
        <v>8393.6007412981126</v>
      </c>
      <c r="I46" s="942">
        <f t="shared" si="0"/>
        <v>6801.921869594953</v>
      </c>
      <c r="J46" s="942">
        <f t="shared" si="0"/>
        <v>5245.3932810955448</v>
      </c>
      <c r="K46" s="942">
        <f t="shared" si="0"/>
        <v>3728.9171639507404</v>
      </c>
    </row>
    <row r="48" spans="1:11">
      <c r="A48" s="940" t="s">
        <v>3354</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547028.19999999995</v>
      </c>
      <c r="C51" s="942">
        <f t="shared" ref="C51:K51" si="2">+C44</f>
        <v>552295.46400000015</v>
      </c>
      <c r="D51" s="942">
        <f t="shared" si="2"/>
        <v>557497.41328000021</v>
      </c>
      <c r="E51" s="942">
        <f t="shared" si="2"/>
        <v>562627.01494559995</v>
      </c>
      <c r="F51" s="942">
        <f t="shared" si="2"/>
        <v>567679.96224651195</v>
      </c>
      <c r="G51" s="942">
        <f t="shared" si="2"/>
        <v>572647.66450350243</v>
      </c>
      <c r="H51" s="942">
        <f t="shared" si="2"/>
        <v>577522.23669599416</v>
      </c>
      <c r="I51" s="942">
        <f t="shared" si="2"/>
        <v>582297.48869940836</v>
      </c>
      <c r="J51" s="942">
        <f t="shared" si="2"/>
        <v>586965.91416097619</v>
      </c>
      <c r="K51" s="942">
        <f t="shared" si="2"/>
        <v>591516.67900240212</v>
      </c>
    </row>
    <row r="52" spans="1:17">
      <c r="A52" s="940" t="s">
        <v>3355</v>
      </c>
      <c r="B52" s="942">
        <f>IF($B$25="N/A",B45,B45+$B$25)</f>
        <v>-325642.17773333361</v>
      </c>
      <c r="C52" s="942">
        <f t="shared" ref="C52:K52" si="3">IF($B$25="N/A",C45,C45+$B$25)</f>
        <v>-325642.17773333361</v>
      </c>
      <c r="D52" s="942">
        <f t="shared" si="3"/>
        <v>-464581.17773333355</v>
      </c>
      <c r="E52" s="942">
        <f t="shared" si="3"/>
        <v>-400904.93891122157</v>
      </c>
      <c r="F52" s="942">
        <f t="shared" si="3"/>
        <v>-403431.14563577931</v>
      </c>
      <c r="G52" s="942">
        <f t="shared" si="3"/>
        <v>-405914.87449985836</v>
      </c>
      <c r="H52" s="942">
        <f t="shared" si="3"/>
        <v>-408352.48588639958</v>
      </c>
      <c r="I52" s="942">
        <f t="shared" si="3"/>
        <v>-410740.18368420826</v>
      </c>
      <c r="J52" s="942">
        <f t="shared" si="3"/>
        <v>-413074.00964701537</v>
      </c>
      <c r="K52" s="942">
        <f t="shared" si="3"/>
        <v>-415349.83756439219</v>
      </c>
    </row>
    <row r="53" spans="1:17">
      <c r="A53" s="940" t="s">
        <v>3356</v>
      </c>
      <c r="B53" s="941">
        <f>+'Part VI-Pro Forma'!B31</f>
        <v>-5000</v>
      </c>
      <c r="C53" s="941">
        <f>+'Part VI-Pro Forma'!C31</f>
        <v>-5150</v>
      </c>
      <c r="D53" s="941">
        <f>+'Part VI-Pro Forma'!D31</f>
        <v>-5304.5</v>
      </c>
      <c r="E53" s="941">
        <f>+'Part VI-Pro Forma'!E31</f>
        <v>-5463.6350000000002</v>
      </c>
      <c r="F53" s="941">
        <f>+'Part VI-Pro Forma'!F31</f>
        <v>-5627.5440500000004</v>
      </c>
      <c r="G53" s="941">
        <f>+'Part VI-Pro Forma'!G31</f>
        <v>-5796.3703715000001</v>
      </c>
      <c r="H53" s="941">
        <f>+'Part VI-Pro Forma'!H31</f>
        <v>-5970.2614826449999</v>
      </c>
      <c r="I53" s="941">
        <f>+'Part VI-Pro Forma'!I31</f>
        <v>-6149.3693271243501</v>
      </c>
      <c r="J53" s="941">
        <f>+'Part VI-Pro Forma'!J31</f>
        <v>-6333.8504069380806</v>
      </c>
      <c r="K53" s="941">
        <f>+'Part VI-Pro Forma'!K31</f>
        <v>-6523.865919146223</v>
      </c>
    </row>
    <row r="54" spans="1:17">
      <c r="A54" s="940" t="s">
        <v>3357</v>
      </c>
      <c r="B54" s="942">
        <f>+SUM(B51:B53)</f>
        <v>216386.02226666635</v>
      </c>
      <c r="C54" s="942">
        <f t="shared" ref="C54:K54" si="4">+SUM(C51:C53)</f>
        <v>221503.28626666655</v>
      </c>
      <c r="D54" s="942">
        <f t="shared" si="4"/>
        <v>87611.735546666663</v>
      </c>
      <c r="E54" s="942">
        <f t="shared" si="4"/>
        <v>156258.44103437837</v>
      </c>
      <c r="F54" s="942">
        <f t="shared" si="4"/>
        <v>158621.27256073264</v>
      </c>
      <c r="G54" s="942">
        <f t="shared" si="4"/>
        <v>160936.41963214407</v>
      </c>
      <c r="H54" s="942">
        <f t="shared" si="4"/>
        <v>163199.48932694958</v>
      </c>
      <c r="I54" s="942">
        <f t="shared" si="4"/>
        <v>165407.93568807576</v>
      </c>
      <c r="J54" s="942">
        <f t="shared" si="4"/>
        <v>167558.05410702273</v>
      </c>
      <c r="K54" s="942">
        <f t="shared" si="4"/>
        <v>169642.97551886371</v>
      </c>
    </row>
    <row r="55" spans="1:17">
      <c r="A55" s="940" t="s">
        <v>3275</v>
      </c>
      <c r="B55" s="942">
        <f>-B54</f>
        <v>-216386.02226666635</v>
      </c>
      <c r="C55" s="942">
        <f t="shared" ref="C55:K55" si="5">-C54</f>
        <v>-221503.28626666655</v>
      </c>
      <c r="D55" s="942">
        <f t="shared" si="5"/>
        <v>-87611.735546666663</v>
      </c>
      <c r="E55" s="942">
        <f t="shared" si="5"/>
        <v>-156258.44103437837</v>
      </c>
      <c r="F55" s="942">
        <f t="shared" si="5"/>
        <v>-158621.27256073264</v>
      </c>
      <c r="G55" s="942">
        <f t="shared" si="5"/>
        <v>-160936.41963214407</v>
      </c>
      <c r="H55" s="942">
        <f t="shared" si="5"/>
        <v>-163199.48932694958</v>
      </c>
      <c r="I55" s="942">
        <f t="shared" si="5"/>
        <v>-165407.93568807576</v>
      </c>
      <c r="J55" s="942">
        <f t="shared" si="5"/>
        <v>-167558.05410702273</v>
      </c>
      <c r="K55" s="942">
        <f t="shared" si="5"/>
        <v>-169642.97551886371</v>
      </c>
    </row>
    <row r="56" spans="1:17">
      <c r="A56" s="940" t="s">
        <v>3358</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3359</v>
      </c>
      <c r="B58" s="941">
        <f>IF($B$26="","",-FV('Part II-Sources of Funds'!$K$40/12,12,B52/12,B26))</f>
        <v>2885221.142347842</v>
      </c>
      <c r="C58" s="941">
        <f>IF($B$26="","",-FV('Part II-Sources of Funds'!$K$40/12,12,C52/12,C26))</f>
        <v>-336948.19149005262</v>
      </c>
      <c r="D58" s="941">
        <f>IF($B$26="","",-FV('Part II-Sources of Funds'!$K$40/12,12,D52/12,D26))</f>
        <v>-480711.03297237784</v>
      </c>
      <c r="E58" s="941">
        <f>IF($B$26="","",-FV('Part II-Sources of Funds'!$K$40/12,12,E52/12,E26))</f>
        <v>-414824.01040870621</v>
      </c>
      <c r="F58" s="941">
        <f>IF($B$26="","",-FV('Part II-Sources of Funds'!$K$40/12,12,F52/12,F26))</f>
        <v>-417437.9248380182</v>
      </c>
      <c r="G58" s="941">
        <f>IF($B$26="","",-FV('Part II-Sources of Funds'!$K$40/12,12,G52/12,G26))</f>
        <v>-420007.886612406</v>
      </c>
      <c r="H58" s="941">
        <f>IF($B$26="","",-FV('Part II-Sources of Funds'!$K$40/12,12,H52/12,H26))</f>
        <v>-422530.12975046545</v>
      </c>
      <c r="I58" s="941">
        <f>IF($B$26="","",-FV('Part II-Sources of Funds'!$K$40/12,12,I52/12,I26))</f>
        <v>-425000.72634331603</v>
      </c>
      <c r="J58" s="941">
        <f>IF($B$26="","",-FV('Part II-Sources of Funds'!$K$40/12,12,J52/12,J26))</f>
        <v>-427415.58071781398</v>
      </c>
      <c r="K58" s="941">
        <f>IF($B$26="","",-FV('Part II-Sources of Funds'!$K$40/12,12,K52/12,K26))</f>
        <v>-429770.4234050861</v>
      </c>
    </row>
    <row r="59" spans="1:17">
      <c r="A59" s="940" t="s">
        <v>3276</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3351</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595944.6095374031</v>
      </c>
      <c r="C64" s="941">
        <f>+'Part VI-Pro Forma'!C57</f>
        <v>600238.1801917525</v>
      </c>
      <c r="D64" s="941">
        <f>+'Part VI-Pro Forma'!D57</f>
        <v>604388.50081309711</v>
      </c>
      <c r="E64" s="941">
        <f>+'Part VI-Pro Forma'!E57</f>
        <v>608386.30355739372</v>
      </c>
      <c r="F64" s="941">
        <f>+'Part VI-Pro Forma'!F57</f>
        <v>612221.92933841771</v>
      </c>
      <c r="G64" s="941">
        <f>+'Part VI-Pro Forma'!G57</f>
        <v>615883.31382635736</v>
      </c>
      <c r="H64" s="941">
        <f>+'Part VI-Pro Forma'!H57</f>
        <v>619360.97298109229</v>
      </c>
      <c r="I64" s="941">
        <f>+'Part VI-Pro Forma'!I57</f>
        <v>622642.98810526787</v>
      </c>
      <c r="J64" s="941">
        <f>+'Part VI-Pro Forma'!J57</f>
        <v>625717.990401863</v>
      </c>
      <c r="K64" s="941">
        <f>+'Part VI-Pro Forma'!K57</f>
        <v>628573.14502042509</v>
      </c>
    </row>
    <row r="65" spans="1:11">
      <c r="A65" s="940" t="s">
        <v>3352</v>
      </c>
      <c r="B65" s="941">
        <f>SUM('Part VI-Pro Forma'!B58:B61)</f>
        <v>-498873.01267338358</v>
      </c>
      <c r="C65" s="941">
        <f>SUM('Part VI-Pro Forma'!C58:C61)</f>
        <v>-501019.7636952874</v>
      </c>
      <c r="D65" s="941">
        <f>SUM('Part VI-Pro Forma'!D58:D61)</f>
        <v>-503095.06901458337</v>
      </c>
      <c r="E65" s="941">
        <f>SUM('Part VI-Pro Forma'!E58:E61)</f>
        <v>-505094.06829552783</v>
      </c>
      <c r="F65" s="941">
        <f>SUM('Part VI-Pro Forma'!F58:F61)</f>
        <v>-507011.70105301181</v>
      </c>
      <c r="G65" s="941">
        <f>SUM('Part VI-Pro Forma'!G58:G61)</f>
        <v>-511417.69956129347</v>
      </c>
      <c r="H65" s="941">
        <f>SUM('Part VI-Pro Forma'!H58:H61)</f>
        <v>-513156.58152825863</v>
      </c>
      <c r="I65" s="941">
        <f>SUM('Part VI-Pro Forma'!I58:I61)</f>
        <v>-514797.64252773579</v>
      </c>
      <c r="J65" s="941">
        <f>SUM('Part VI-Pro Forma'!J58:J61)</f>
        <v>-516334.94818217109</v>
      </c>
      <c r="K65" s="941">
        <f>SUM('Part VI-Pro Forma'!K58:K61)</f>
        <v>-517762.32608771219</v>
      </c>
    </row>
    <row r="66" spans="1:11">
      <c r="A66" s="940" t="s">
        <v>3353</v>
      </c>
      <c r="B66" s="942">
        <f t="shared" ref="B66:K66" si="7">-B64/B68-B65</f>
        <v>2252.5047255476238</v>
      </c>
      <c r="C66" s="942">
        <f t="shared" si="7"/>
        <v>821.28020216029836</v>
      </c>
      <c r="D66" s="942">
        <f t="shared" si="7"/>
        <v>-562.01499633089406</v>
      </c>
      <c r="E66" s="942">
        <f t="shared" si="7"/>
        <v>-1894.5180023002904</v>
      </c>
      <c r="F66" s="942">
        <f t="shared" si="7"/>
        <v>-3173.240062336321</v>
      </c>
      <c r="G66" s="942">
        <f t="shared" si="7"/>
        <v>-1818.3952940043528</v>
      </c>
      <c r="H66" s="942">
        <f t="shared" si="7"/>
        <v>-2977.5626226516324</v>
      </c>
      <c r="I66" s="942">
        <f t="shared" si="7"/>
        <v>-4071.514226654137</v>
      </c>
      <c r="J66" s="942">
        <f t="shared" si="7"/>
        <v>-5096.7104860480758</v>
      </c>
      <c r="K66" s="942">
        <f t="shared" si="7"/>
        <v>-6048.6280959753785</v>
      </c>
    </row>
    <row r="68" spans="1:11">
      <c r="A68" s="940" t="s">
        <v>3354</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595944.6095374031</v>
      </c>
      <c r="C71" s="942">
        <f t="shared" si="9"/>
        <v>600238.1801917525</v>
      </c>
      <c r="D71" s="942">
        <f t="shared" si="9"/>
        <v>604388.50081309711</v>
      </c>
      <c r="E71" s="942">
        <f t="shared" si="9"/>
        <v>608386.30355739372</v>
      </c>
      <c r="F71" s="942">
        <f t="shared" si="9"/>
        <v>612221.92933841771</v>
      </c>
      <c r="G71" s="942">
        <f t="shared" si="9"/>
        <v>615883.31382635736</v>
      </c>
      <c r="H71" s="942">
        <f>+H64</f>
        <v>619360.97298109229</v>
      </c>
      <c r="I71" s="942">
        <f>+I64</f>
        <v>622642.98810526787</v>
      </c>
      <c r="J71" s="942">
        <f>+J64</f>
        <v>625717.990401863</v>
      </c>
      <c r="K71" s="942">
        <f>+K64</f>
        <v>628573.14502042509</v>
      </c>
    </row>
    <row r="72" spans="1:11">
      <c r="A72" s="940" t="s">
        <v>3355</v>
      </c>
      <c r="B72" s="942">
        <f t="shared" ref="B72:G72" si="10">IF($B$25="N/A",B65,B65+$B$25)</f>
        <v>-417563.36723848991</v>
      </c>
      <c r="C72" s="942">
        <f t="shared" si="10"/>
        <v>-419710.11826039373</v>
      </c>
      <c r="D72" s="942">
        <f t="shared" si="10"/>
        <v>-421785.4235796897</v>
      </c>
      <c r="E72" s="942">
        <f t="shared" si="10"/>
        <v>-423784.42286063416</v>
      </c>
      <c r="F72" s="942">
        <f t="shared" si="10"/>
        <v>-425702.05561811815</v>
      </c>
      <c r="G72" s="942">
        <f t="shared" si="10"/>
        <v>-430108.0541263998</v>
      </c>
      <c r="H72" s="942">
        <f>IF($B$25="N/A",H65,H65+$B$25)</f>
        <v>-431846.93609336496</v>
      </c>
      <c r="I72" s="942">
        <f>IF($B$25="N/A",I65,I65+$B$25)</f>
        <v>-433487.99709284212</v>
      </c>
      <c r="J72" s="942">
        <f>IF($B$25="N/A",J65,J65+$B$25)</f>
        <v>-435025.30274727743</v>
      </c>
      <c r="K72" s="942">
        <f>IF($B$25="N/A",K65,K65+$B$25)</f>
        <v>-436452.68065281853</v>
      </c>
    </row>
    <row r="73" spans="1:11">
      <c r="A73" s="940" t="s">
        <v>3356</v>
      </c>
      <c r="B73" s="941">
        <f>+'Part VI-Pro Forma'!B63</f>
        <v>-6719.5818967206096</v>
      </c>
      <c r="C73" s="941">
        <f>+'Part VI-Pro Forma'!C63</f>
        <v>-6921.1693536222283</v>
      </c>
      <c r="D73" s="941">
        <f>+'Part VI-Pro Forma'!D63</f>
        <v>-7128.8044342308949</v>
      </c>
      <c r="E73" s="941">
        <f>+'Part VI-Pro Forma'!E63</f>
        <v>-7342.6685672578224</v>
      </c>
      <c r="F73" s="941">
        <f>+'Part VI-Pro Forma'!F63</f>
        <v>-7562.9486242755574</v>
      </c>
      <c r="G73" s="941">
        <f>+'Part VI-Pro Forma'!G63</f>
        <v>0</v>
      </c>
      <c r="H73" s="941">
        <f>+'Part VI-Pro Forma'!H63</f>
        <v>0</v>
      </c>
      <c r="I73" s="941">
        <f>+'Part VI-Pro Forma'!I63</f>
        <v>0</v>
      </c>
      <c r="J73" s="941">
        <f>+'Part VI-Pro Forma'!J63</f>
        <v>0</v>
      </c>
      <c r="K73" s="941">
        <f>+'Part VI-Pro Forma'!K63</f>
        <v>0</v>
      </c>
    </row>
    <row r="74" spans="1:11">
      <c r="A74" s="940" t="s">
        <v>3357</v>
      </c>
      <c r="B74" s="942">
        <f t="shared" ref="B74:G74" si="11">+SUM(B71:B73)</f>
        <v>171661.66040219259</v>
      </c>
      <c r="C74" s="942">
        <f t="shared" si="11"/>
        <v>173606.89257773655</v>
      </c>
      <c r="D74" s="942">
        <f t="shared" si="11"/>
        <v>175474.27279917651</v>
      </c>
      <c r="E74" s="942">
        <f t="shared" si="11"/>
        <v>177259.21212950174</v>
      </c>
      <c r="F74" s="942">
        <f t="shared" si="11"/>
        <v>178956.925096024</v>
      </c>
      <c r="G74" s="942">
        <f t="shared" si="11"/>
        <v>185775.25969995756</v>
      </c>
      <c r="H74" s="942">
        <f>+SUM(H71:H73)</f>
        <v>187514.03688772733</v>
      </c>
      <c r="I74" s="942">
        <f>+SUM(I71:I73)</f>
        <v>189154.99101242574</v>
      </c>
      <c r="J74" s="942">
        <f>+SUM(J71:J73)</f>
        <v>190692.68765458558</v>
      </c>
      <c r="K74" s="942">
        <f>+SUM(K71:K73)</f>
        <v>192120.46436760656</v>
      </c>
    </row>
    <row r="75" spans="1:11">
      <c r="A75" s="940" t="s">
        <v>3275</v>
      </c>
      <c r="B75" s="942">
        <f t="shared" ref="B75:G75" si="12">-B74</f>
        <v>-171661.66040219259</v>
      </c>
      <c r="C75" s="942">
        <f t="shared" si="12"/>
        <v>-173606.89257773655</v>
      </c>
      <c r="D75" s="942">
        <f t="shared" si="12"/>
        <v>-175474.27279917651</v>
      </c>
      <c r="E75" s="942">
        <f t="shared" si="12"/>
        <v>-177259.21212950174</v>
      </c>
      <c r="F75" s="942">
        <f t="shared" si="12"/>
        <v>-178956.925096024</v>
      </c>
      <c r="G75" s="942">
        <f t="shared" si="12"/>
        <v>-185775.25969995756</v>
      </c>
      <c r="H75" s="942">
        <f>-H74</f>
        <v>-187514.03688772733</v>
      </c>
      <c r="I75" s="942">
        <f>-I74</f>
        <v>-189154.99101242574</v>
      </c>
      <c r="J75" s="942">
        <f>-J74</f>
        <v>-190692.68765458558</v>
      </c>
      <c r="K75" s="942">
        <f>-K74</f>
        <v>-192120.46436760656</v>
      </c>
    </row>
    <row r="76" spans="1:11">
      <c r="A76" s="940" t="s">
        <v>3358</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3359</v>
      </c>
      <c r="B78" s="941">
        <f>IF($B$26="","",-FV('Part II-Sources of Funds'!$K$40/12,12,B72/12,K58))</f>
        <v>-894827.3509298506</v>
      </c>
      <c r="C78" s="941">
        <f>IF($B$26="","",-FV('Part II-Sources of Funds'!$K$40/12,12,C72/12,L58))</f>
        <v>-434282.08926217241</v>
      </c>
      <c r="D78" s="941">
        <f>IF($B$26="","",-FV('Part II-Sources of Funds'!$K$40/12,12,D72/12,M58))</f>
        <v>-436429.44738080987</v>
      </c>
      <c r="E78" s="941">
        <f>IF($B$26="","",-FV('Part II-Sources of Funds'!$K$40/12,12,E72/12,N58))</f>
        <v>-438497.85018167709</v>
      </c>
      <c r="F78" s="941">
        <f>IF($B$26="","",-FV('Part II-Sources of Funds'!$K$40/12,12,F72/12,O58))</f>
        <v>-440482.06148401473</v>
      </c>
      <c r="G78" s="941">
        <f>IF($B$26="","",-FV('Part II-Sources of Funds'!$K$40/12,12,G72/12,P58))</f>
        <v>-445041.03243614087</v>
      </c>
      <c r="H78" s="941">
        <f>IF($B$26="","",-FV('Part II-Sources of Funds'!$K$40/12,12,H72/12,Q58))</f>
        <v>-446840.28687566676</v>
      </c>
      <c r="I78" s="941">
        <f>IF($B$26="","",-FV('Part II-Sources of Funds'!$K$40/12,12,I72/12,R58))</f>
        <v>-448538.32408862107</v>
      </c>
      <c r="J78" s="941">
        <f>IF($B$26="","",-FV('Part II-Sources of Funds'!$K$40/12,12,J72/12,S58))</f>
        <v>-450129.00366101234</v>
      </c>
      <c r="K78" s="941">
        <f>IF($B$26="","",-FV('Part II-Sources of Funds'!$K$40/12,12,K72/12,T58))</f>
        <v>-451605.93888848397</v>
      </c>
    </row>
    <row r="79" spans="1:11">
      <c r="A79" s="940" t="s">
        <v>3276</v>
      </c>
    </row>
    <row r="82" spans="1:2">
      <c r="A82" s="940" t="s">
        <v>3360</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Redland Trace</v>
      </c>
    </row>
    <row r="2" spans="1:15" ht="13.5" customHeight="1"/>
    <row r="3" spans="1:15" ht="13.5" customHeight="1">
      <c r="A3" s="514" t="s">
        <v>2698</v>
      </c>
      <c r="C3" s="513" t="s">
        <v>2699</v>
      </c>
      <c r="E3" s="575">
        <f>SUM('Part III-A-Uses of Funds'!J162,'Part III-A-Uses of Funds'!M162,'Part III-A-Uses of Funds'!P162)</f>
        <v>22931380</v>
      </c>
      <c r="F3" s="1003" t="s">
        <v>2700</v>
      </c>
      <c r="H3" s="988">
        <v>27.5</v>
      </c>
      <c r="I3" s="513" t="s">
        <v>2267</v>
      </c>
      <c r="K3" s="518" t="s">
        <v>2721</v>
      </c>
      <c r="M3" s="1003"/>
      <c r="O3" s="576"/>
    </row>
    <row r="4" spans="1:15" ht="13.5" customHeight="1">
      <c r="C4" s="513" t="s">
        <v>3043</v>
      </c>
      <c r="E4" s="575">
        <f>SUM('Part III-A-Uses of Funds'!G97:H101)</f>
        <v>165500</v>
      </c>
      <c r="F4" s="1003" t="s">
        <v>3543</v>
      </c>
      <c r="H4" s="514">
        <f>'Part II-Sources of Funds'!M40</f>
        <v>40</v>
      </c>
      <c r="I4" s="513" t="s">
        <v>2267</v>
      </c>
      <c r="K4" s="577" t="s">
        <v>2890</v>
      </c>
      <c r="M4" s="1003"/>
    </row>
    <row r="5" spans="1:15" ht="13.5" customHeight="1">
      <c r="C5" s="513" t="s">
        <v>3044</v>
      </c>
      <c r="E5" s="575">
        <f>SUM('Part III-A-Uses of Funds'!G105:H111)</f>
        <v>193500</v>
      </c>
      <c r="F5" s="1003" t="s">
        <v>3542</v>
      </c>
      <c r="H5" s="988">
        <v>15</v>
      </c>
      <c r="I5" s="513" t="s">
        <v>2267</v>
      </c>
      <c r="K5" s="576">
        <f>-E6</f>
        <v>-19978758</v>
      </c>
    </row>
    <row r="6" spans="1:15" ht="13.5" customHeight="1">
      <c r="C6" s="513" t="s">
        <v>2701</v>
      </c>
      <c r="E6" s="578">
        <f>'Part II-Sources of Funds'!$I$51+'Part II-Sources of Funds'!$I$52</f>
        <v>19978758</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0</v>
      </c>
      <c r="D9" s="583">
        <f>'Part VI-Pro Forma'!C33</f>
        <v>0</v>
      </c>
      <c r="E9" s="583">
        <f>'Part VI-Pro Forma'!D33</f>
        <v>0.10777531849453226</v>
      </c>
      <c r="F9" s="583">
        <f>'Part VI-Pro Forma'!E33</f>
        <v>74948.795599484685</v>
      </c>
      <c r="G9" s="583">
        <f>'Part VI-Pro Forma'!F33</f>
        <v>77311.62712583899</v>
      </c>
      <c r="H9" s="583">
        <f>'Part VI-Pro Forma'!G33</f>
        <v>79626.774197250372</v>
      </c>
      <c r="I9" s="583">
        <f>'Part VI-Pro Forma'!H33</f>
        <v>81889.843892055898</v>
      </c>
      <c r="K9" s="576" t="e">
        <f>F24</f>
        <v>#VALUE!</v>
      </c>
      <c r="N9" s="584" t="s">
        <v>2707</v>
      </c>
    </row>
    <row r="10" spans="1:15" ht="13.5" customHeight="1">
      <c r="A10" s="513" t="s">
        <v>2706</v>
      </c>
      <c r="C10" s="962">
        <f>'Part II-Sources of Funds'!I40-'Part VI-Pro Forma'!B40</f>
        <v>21844.807343774475</v>
      </c>
      <c r="D10" s="585">
        <f>'Part VI-Pro Forma'!B40-'Part VI-Pro Forma'!C40</f>
        <v>23521.967758725397</v>
      </c>
      <c r="E10" s="585">
        <f>'Part VI-Pro Forma'!C40-'Part VI-Pro Forma'!D40</f>
        <v>25327.894109360874</v>
      </c>
      <c r="F10" s="585">
        <f>'Part VI-Pro Forma'!D40-'Part VI-Pro Forma'!E40</f>
        <v>27272.472549709491</v>
      </c>
      <c r="G10" s="585">
        <f>'Part VI-Pro Forma'!E40-'Part VI-Pro Forma'!F40</f>
        <v>29366.348254740238</v>
      </c>
      <c r="H10" s="585">
        <f>'Part VI-Pro Forma'!F40-'Part VI-Pro Forma'!G40</f>
        <v>31620.983695073053</v>
      </c>
      <c r="I10" s="585">
        <f>'Part VI-Pro Forma'!G40-'Part VI-Pro Forma'!H40</f>
        <v>34048.72138580028</v>
      </c>
      <c r="K10" s="576" t="e">
        <f>G24</f>
        <v>#VALUE!</v>
      </c>
      <c r="N10" s="584" t="s">
        <v>2708</v>
      </c>
      <c r="O10" s="581"/>
    </row>
    <row r="11" spans="1:15" ht="13.5" customHeight="1">
      <c r="A11" s="513" t="s">
        <v>2706</v>
      </c>
      <c r="C11" s="962">
        <f>'Part II-Sources of Funds'!I41-'Part VI-Pro Forma'!B41</f>
        <v>-24087.301982353209</v>
      </c>
      <c r="D11" s="585">
        <f>'Part VI-Pro Forma'!B41-'Part VI-Pro Forma'!C41</f>
        <v>-24451.10589428572</v>
      </c>
      <c r="E11" s="585">
        <f>'Part VI-Pro Forma'!C41-'Part VI-Pro Forma'!D41</f>
        <v>115077.7923257323</v>
      </c>
      <c r="F11" s="585">
        <f>'Part VI-Pro Forma'!D41-'Part VI-Pro Forma'!E41</f>
        <v>52700.034031412331</v>
      </c>
      <c r="G11" s="585">
        <f>'Part VI-Pro Forma'!E41-'Part VI-Pro Forma'!F41</f>
        <v>56039.638906274922</v>
      </c>
      <c r="H11" s="585">
        <f>'Part VI-Pro Forma'!F41-'Part VI-Pro Forma'!G41</f>
        <v>59386.912574031623</v>
      </c>
      <c r="I11" s="585">
        <f>'Part VI-Pro Forma'!G41-'Part VI-Pro Forma'!H41</f>
        <v>62738.306116743712</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-24000</v>
      </c>
      <c r="D13" s="963">
        <f>'Part VI-Pro Forma'!C23</f>
        <v>-24720</v>
      </c>
      <c r="E13" s="963">
        <f>'Part VI-Pro Forma'!D23</f>
        <v>-25461.599999999999</v>
      </c>
      <c r="F13" s="963">
        <f>'Part VI-Pro Forma'!E23</f>
        <v>-26225.448</v>
      </c>
      <c r="G13" s="963">
        <f>'Part VI-Pro Forma'!F23</f>
        <v>-27012.211439999999</v>
      </c>
      <c r="H13" s="963">
        <f>'Part VI-Pro Forma'!G23</f>
        <v>-27822.577783199995</v>
      </c>
      <c r="I13" s="963">
        <f>'Part VI-Pro Forma'!H23</f>
        <v>-28657.255116695997</v>
      </c>
      <c r="K13" s="576" t="e">
        <f>C44</f>
        <v>#VALUE!</v>
      </c>
      <c r="O13" s="581"/>
    </row>
    <row r="14" spans="1:15" ht="13.5" customHeight="1">
      <c r="A14" s="587" t="s">
        <v>3046</v>
      </c>
      <c r="B14" s="587"/>
      <c r="C14" s="963">
        <f>'Part VI-Pro Forma'!B32</f>
        <v>-135076.37683177268</v>
      </c>
      <c r="D14" s="963">
        <f>'Part VI-Pro Forma'!C32</f>
        <v>-140193.64083177288</v>
      </c>
      <c r="E14" s="963">
        <f>'Part VI-Pro Forma'!D32</f>
        <v>-6301.9823364544427</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833868.36363636365</v>
      </c>
      <c r="D15" s="588">
        <f t="shared" si="0"/>
        <v>833868.36363636365</v>
      </c>
      <c r="E15" s="588">
        <f t="shared" si="0"/>
        <v>833868.36363636365</v>
      </c>
      <c r="F15" s="588">
        <f t="shared" si="0"/>
        <v>833868.36363636365</v>
      </c>
      <c r="G15" s="588">
        <f t="shared" si="0"/>
        <v>833868.36363636365</v>
      </c>
      <c r="H15" s="588">
        <f t="shared" si="0"/>
        <v>833868.36363636365</v>
      </c>
      <c r="I15" s="588">
        <f t="shared" si="0"/>
        <v>833868.36363636365</v>
      </c>
      <c r="K15" s="576" t="e">
        <f>E44</f>
        <v>#VALUE!</v>
      </c>
      <c r="O15" s="581"/>
    </row>
    <row r="16" spans="1:15" ht="13.5" customHeight="1">
      <c r="A16" s="513" t="s">
        <v>2711</v>
      </c>
      <c r="C16" s="588">
        <f>IF(C$8&lt;=$H$4,($E$4/$H$4),0)+IF(C$8&lt;=$H$5,($E$5/$H$5),0)</f>
        <v>17037.5</v>
      </c>
      <c r="D16" s="588">
        <f t="shared" ref="D16:I16" si="1">IF(D$8&lt;=$H$4,($E$4/$H$4),0)+IF(D$8&lt;=$H$5,($E$5/$H$5),0)</f>
        <v>17037.5</v>
      </c>
      <c r="E16" s="588">
        <f t="shared" si="1"/>
        <v>17037.5</v>
      </c>
      <c r="F16" s="588">
        <f t="shared" si="1"/>
        <v>17037.5</v>
      </c>
      <c r="G16" s="588">
        <f t="shared" si="1"/>
        <v>17037.5</v>
      </c>
      <c r="H16" s="588">
        <f t="shared" si="1"/>
        <v>17037.5</v>
      </c>
      <c r="I16" s="588">
        <f t="shared" si="1"/>
        <v>17037.5</v>
      </c>
      <c r="K16" s="576" t="e">
        <f>F44</f>
        <v>#VALUE!</v>
      </c>
      <c r="M16" s="513" t="s">
        <v>2715</v>
      </c>
      <c r="O16" s="581">
        <f>E3</f>
        <v>22931380</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16677367.272727273</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6254012.7272727266</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2718</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6254012.7272727266</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-6254012.7272727266</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84098.290253182102</v>
      </c>
      <c r="D29" s="583">
        <f>'Part VI-Pro Forma'!J33</f>
        <v>86248.408672129066</v>
      </c>
      <c r="E29" s="583">
        <f>'Part VI-Pro Forma'!K33</f>
        <v>88333.330083970024</v>
      </c>
      <c r="F29" s="583">
        <f>'Part VI-Pro Forma'!B65</f>
        <v>90352.014967298906</v>
      </c>
      <c r="G29" s="583">
        <f>'Part VI-Pro Forma'!C65</f>
        <v>92297.247142842883</v>
      </c>
      <c r="H29" s="583">
        <f>'Part VI-Pro Forma'!D65</f>
        <v>94164.62736428286</v>
      </c>
      <c r="I29" s="583">
        <f>'Part VI-Pro Forma'!E65</f>
        <v>95949.566694608075</v>
      </c>
      <c r="N29" s="592"/>
      <c r="O29" s="592"/>
    </row>
    <row r="30" spans="1:17" ht="13.5" customHeight="1">
      <c r="A30" s="513" t="s">
        <v>2706</v>
      </c>
      <c r="C30" s="585">
        <f>'Part VI-Pro Forma'!H40-'Part VI-Pro Forma'!I40</f>
        <v>36662.851452927105</v>
      </c>
      <c r="D30" s="585">
        <f>'Part VI-Pro Forma'!I40-'Part VI-Pro Forma'!J40</f>
        <v>39477.684387289919</v>
      </c>
      <c r="E30" s="585">
        <f>'Part VI-Pro Forma'!J40-'Part VI-Pro Forma'!K40</f>
        <v>42508.629384255037</v>
      </c>
      <c r="F30" s="960">
        <f>'Part VI-Pro Forma'!K40-'Part VI-Pro Forma'!B72</f>
        <v>45772.278698030859</v>
      </c>
      <c r="G30" s="960">
        <f>'Part VI-Pro Forma'!B72-'Part VI-Pro Forma'!C72</f>
        <v>49286.498472384177</v>
      </c>
      <c r="H30" s="960">
        <f>'Part VI-Pro Forma'!C72-'Part VI-Pro Forma'!D72</f>
        <v>53070.526544985361</v>
      </c>
      <c r="I30" s="960">
        <f>'Part VI-Pro Forma'!D72-'Part VI-Pro Forma'!E72</f>
        <v>57145.077760800719</v>
      </c>
    </row>
    <row r="31" spans="1:17" ht="13.5" customHeight="1">
      <c r="A31" s="513" t="s">
        <v>2706</v>
      </c>
      <c r="C31" s="585">
        <f>'Part VI-Pro Forma'!H41-'Part VI-Pro Forma'!I41</f>
        <v>66090.05944066518</v>
      </c>
      <c r="D31" s="585">
        <f>'Part VI-Pro Forma'!I41-'Part VI-Pro Forma'!J41</f>
        <v>69438.192406852497</v>
      </c>
      <c r="E31" s="585">
        <f>'Part VI-Pro Forma'!J41-'Part VI-Pro Forma'!K41</f>
        <v>72778.495638372842</v>
      </c>
      <c r="F31" s="960">
        <f>'Part VI-Pro Forma'!K41-'Part VI-Pro Forma'!B73</f>
        <v>76106.520993152051</v>
      </c>
      <c r="G31" s="960">
        <f>'Part VI-Pro Forma'!B73-'Part VI-Pro Forma'!C73</f>
        <v>79417.571691159974</v>
      </c>
      <c r="H31" s="960">
        <f>'Part VI-Pro Forma'!C73-'Part VI-Pro Forma'!D73</f>
        <v>82706.692084265058</v>
      </c>
      <c r="I31" s="960">
        <f>'Part VI-Pro Forma'!D73-'Part VI-Pro Forma'!E73</f>
        <v>85968.65705670882</v>
      </c>
      <c r="K31" s="513" t="s">
        <v>233</v>
      </c>
      <c r="M31" s="513" t="s">
        <v>2725</v>
      </c>
      <c r="O31" s="583">
        <f>O25*O27</f>
        <v>-1250802.5454545454</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-29516.97277019688</v>
      </c>
      <c r="D33" s="963">
        <f>'Part VI-Pro Forma'!J23</f>
        <v>-30402.481953302784</v>
      </c>
      <c r="E33" s="963">
        <f>'Part VI-Pro Forma'!K23</f>
        <v>-31314.556411901867</v>
      </c>
      <c r="F33" s="963">
        <f>'Part VI-Pro Forma'!B55</f>
        <v>-32253.993104258923</v>
      </c>
      <c r="G33" s="963">
        <f>'Part VI-Pro Forma'!C55</f>
        <v>-33221.612897386694</v>
      </c>
      <c r="H33" s="963">
        <f>'Part VI-Pro Forma'!D55</f>
        <v>-34218.26128430829</v>
      </c>
      <c r="I33" s="963">
        <f>'Part VI-Pro Forma'!E55</f>
        <v>-35244.809122837534</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833868.36363636365</v>
      </c>
      <c r="D35" s="588">
        <f t="shared" si="8"/>
        <v>833868.36363636365</v>
      </c>
      <c r="E35" s="588">
        <f t="shared" si="8"/>
        <v>833868.36363636365</v>
      </c>
      <c r="F35" s="588">
        <f t="shared" si="8"/>
        <v>833868.36363636365</v>
      </c>
      <c r="G35" s="588">
        <f t="shared" si="8"/>
        <v>833868.36363636365</v>
      </c>
      <c r="H35" s="588">
        <f t="shared" si="8"/>
        <v>833868.36363636365</v>
      </c>
      <c r="I35" s="588">
        <f t="shared" si="8"/>
        <v>833868.36363636365</v>
      </c>
    </row>
    <row r="36" spans="1:15" ht="13.5" customHeight="1">
      <c r="A36" s="513" t="s">
        <v>2711</v>
      </c>
      <c r="C36" s="583">
        <f>IF(C$28&lt;=$H$4,($E$4/$H$4),0)+IF(C$28&lt;=$H$5,($E$5/$H$5),0)</f>
        <v>17037.5</v>
      </c>
      <c r="D36" s="583">
        <f t="shared" ref="D36:I36" si="9">IF(D$28&lt;=$H$4,($E$4/$H$4),0)+IF(D$28&lt;=$H$5,($E$5/$H$5),0)</f>
        <v>17037.5</v>
      </c>
      <c r="E36" s="583">
        <f t="shared" si="9"/>
        <v>17037.5</v>
      </c>
      <c r="F36" s="583">
        <f t="shared" si="9"/>
        <v>17037.5</v>
      </c>
      <c r="G36" s="583">
        <f t="shared" si="9"/>
        <v>17037.5</v>
      </c>
      <c r="H36" s="583">
        <f t="shared" si="9"/>
        <v>17037.5</v>
      </c>
      <c r="I36" s="583">
        <f t="shared" si="9"/>
        <v>17037.5</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1350000</v>
      </c>
      <c r="D41" s="589">
        <f>C41</f>
        <v>1350000</v>
      </c>
      <c r="E41" s="589">
        <f>D41</f>
        <v>1350000</v>
      </c>
      <c r="F41" s="589">
        <v>0</v>
      </c>
      <c r="G41" s="589">
        <v>0</v>
      </c>
      <c r="H41" s="589">
        <v>0</v>
      </c>
      <c r="I41" s="589">
        <v>0</v>
      </c>
    </row>
    <row r="42" spans="1:15" ht="13.5" customHeight="1">
      <c r="A42" s="513" t="s">
        <v>2718</v>
      </c>
      <c r="C42" s="589">
        <f>C22</f>
        <v>1350000</v>
      </c>
      <c r="D42" s="589">
        <f>C42</f>
        <v>1350000</v>
      </c>
      <c r="E42" s="589">
        <f>D42</f>
        <v>1350000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97647.279661130349</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61532.457371040247</v>
      </c>
      <c r="D50" s="961">
        <f>'Part VI-Pro Forma'!F72-'Part VI-Pro Forma'!G72</f>
        <v>66256.683138440363</v>
      </c>
      <c r="E50" s="961">
        <f>'Part VI-Pro Forma'!G72-'Part VI-Pro Forma'!H72</f>
        <v>71343.616817321628</v>
      </c>
      <c r="F50" s="961">
        <f>'Part VI-Pro Forma'!H72-'Part VI-Pro Forma'!I72</f>
        <v>76821.10572818201</v>
      </c>
      <c r="G50" s="961">
        <f>'Part VI-Pro Forma'!I72-'Part VI-Pro Forma'!J72</f>
        <v>82719.135201844387</v>
      </c>
      <c r="H50" s="961">
        <f>'Part VI-Pro Forma'!J72-'Part VI-Pro Forma'!K72</f>
        <v>89069.992727672681</v>
      </c>
    </row>
    <row r="51" spans="1:10" ht="13.5" customHeight="1">
      <c r="A51" s="513" t="s">
        <v>2706</v>
      </c>
      <c r="C51" s="961">
        <f>'Part VI-Pro Forma'!E73-'Part VI-Pro Forma'!F73</f>
        <v>89197.961043762742</v>
      </c>
      <c r="D51" s="961">
        <f>'Part VI-Pro Forma'!F73-'Part VI-Pro Forma'!G73</f>
        <v>94981.583751623402</v>
      </c>
      <c r="E51" s="961">
        <f>'Part VI-Pro Forma'!G73-'Part VI-Pro Forma'!H73</f>
        <v>98167.030143723241</v>
      </c>
      <c r="F51" s="961">
        <f>'Part VI-Pro Forma'!H73-'Part VI-Pro Forma'!I73</f>
        <v>101302.09180676809</v>
      </c>
      <c r="G51" s="961">
        <f>'Part VI-Pro Forma'!I73-'Part VI-Pro Forma'!J73</f>
        <v>104380.03240531241</v>
      </c>
      <c r="H51" s="961">
        <f>'Part VI-Pro Forma'!J73-'Part VI-Pro Forma'!K73</f>
        <v>107393.77419172492</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-36302.153396522663</v>
      </c>
      <c r="D53" s="963">
        <f>'Part VI-Pro Forma'!G55</f>
        <v>-37391.217998418346</v>
      </c>
      <c r="E53" s="963">
        <f>'Part VI-Pro Forma'!H55</f>
        <v>-38512.95453837089</v>
      </c>
      <c r="F53" s="963">
        <f>'Part VI-Pro Forma'!I55</f>
        <v>-39668.343174522015</v>
      </c>
      <c r="G53" s="963">
        <f>'Part VI-Pro Forma'!J55</f>
        <v>-40858.393469757677</v>
      </c>
      <c r="H53" s="963">
        <f>'Part VI-Pro Forma'!K55</f>
        <v>-42084.145273850409</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833868.36363636365</v>
      </c>
      <c r="D55" s="588">
        <f t="shared" si="14"/>
        <v>833868.36363636365</v>
      </c>
      <c r="E55" s="588">
        <f t="shared" si="14"/>
        <v>833868.36363636365</v>
      </c>
      <c r="F55" s="588">
        <f t="shared" si="14"/>
        <v>833868.36363636365</v>
      </c>
      <c r="G55" s="588">
        <f t="shared" si="14"/>
        <v>833868.36363636365</v>
      </c>
      <c r="H55" s="588">
        <f t="shared" si="14"/>
        <v>833868.36363636365</v>
      </c>
    </row>
    <row r="56" spans="1:10" ht="13.5" customHeight="1">
      <c r="A56" s="513" t="s">
        <v>2711</v>
      </c>
      <c r="C56" s="583">
        <f t="shared" ref="C56:H56" si="15">IF(C$48&lt;=$H$4,($E$4/$H$4),0)+IF(C$48&lt;=$H$5,($E$5/$H$5),0)</f>
        <v>17037.5</v>
      </c>
      <c r="D56" s="583">
        <f t="shared" si="15"/>
        <v>4137.5</v>
      </c>
      <c r="E56" s="583">
        <f t="shared" si="15"/>
        <v>4137.5</v>
      </c>
      <c r="F56" s="583">
        <f t="shared" si="15"/>
        <v>4137.5</v>
      </c>
      <c r="G56" s="583">
        <f t="shared" si="15"/>
        <v>4137.5</v>
      </c>
      <c r="H56" s="583">
        <f t="shared" si="15"/>
        <v>4137.5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4" t="e">
        <f>IRR(K5:K25)</f>
        <v>#VALUE!</v>
      </c>
      <c r="H66" s="4675"/>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7" t="str">
        <f>'Sensitivity Analysis'!C8</f>
        <v>Redland Trace</v>
      </c>
      <c r="B1" s="4677"/>
      <c r="C1" s="4677"/>
      <c r="D1" s="4677"/>
      <c r="E1" s="4677"/>
      <c r="F1" s="4677"/>
      <c r="G1" s="4677"/>
      <c r="H1" s="4677"/>
      <c r="I1" s="4677"/>
      <c r="J1" s="4677"/>
      <c r="K1" s="4677"/>
    </row>
    <row r="2" spans="1:11" s="438" customFormat="1" ht="17.649999999999999" customHeight="1">
      <c r="A2" s="4676" t="s">
        <v>2877</v>
      </c>
      <c r="B2" s="4676"/>
      <c r="C2" s="4676"/>
      <c r="D2" s="4676"/>
      <c r="E2" s="4676"/>
      <c r="F2" s="4676"/>
      <c r="G2" s="4676"/>
      <c r="H2" s="4676"/>
      <c r="I2" s="4676"/>
      <c r="J2" s="4676"/>
      <c r="K2" s="4676"/>
    </row>
    <row r="3" spans="1:11" ht="9" customHeight="1">
      <c r="A3" s="1390"/>
      <c r="B3" s="1390"/>
      <c r="C3" s="1390"/>
      <c r="D3" s="1390"/>
      <c r="E3" s="1390"/>
      <c r="G3" s="1390"/>
      <c r="H3" s="1390"/>
      <c r="J3" s="1390"/>
      <c r="K3" s="1390"/>
    </row>
    <row r="4" spans="1:11" ht="12.6" customHeight="1">
      <c r="A4" s="4678" t="s">
        <v>3963</v>
      </c>
      <c r="B4" s="4678"/>
      <c r="C4" s="1391"/>
      <c r="D4" s="4678" t="s">
        <v>3964</v>
      </c>
      <c r="E4" s="4678"/>
      <c r="F4" s="520"/>
      <c r="G4" s="4678" t="s">
        <v>3965</v>
      </c>
      <c r="H4" s="4678"/>
      <c r="I4" s="520"/>
      <c r="J4" s="4678" t="s">
        <v>4076</v>
      </c>
      <c r="K4" s="4678"/>
    </row>
    <row r="5" spans="1:11" ht="25.9" customHeight="1">
      <c r="A5" s="4679" t="str">
        <f>'Part II-Sources of Funds'!E40</f>
        <v>Specialty Finance Group</v>
      </c>
      <c r="B5" s="4680"/>
      <c r="C5" s="438"/>
      <c r="D5" s="4679" t="str">
        <f>'Part II-Sources of Funds'!E41</f>
        <v>Gwinnett SFLRF</v>
      </c>
      <c r="E5" s="4680"/>
      <c r="F5" s="1392"/>
      <c r="G5" s="4679">
        <f>'Part II-Sources of Funds'!E42</f>
        <v>0</v>
      </c>
      <c r="H5" s="4680"/>
      <c r="I5" s="1392"/>
      <c r="J5" s="4679">
        <f>'Part II-Sources of Funds'!E43</f>
        <v>0</v>
      </c>
      <c r="K5" s="4680"/>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33912.651930685606</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33912.651930685606</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33912.651930685606</v>
      </c>
      <c r="D12" s="967">
        <v>3</v>
      </c>
      <c r="E12" s="968">
        <f>-'Part VI-Pro Forma'!$D27/12</f>
        <v>11578.25</v>
      </c>
      <c r="G12" s="967">
        <v>3</v>
      </c>
      <c r="H12" s="968">
        <f>-'Part VI-Pro Forma'!$D28/12</f>
        <v>0</v>
      </c>
      <c r="J12" s="967">
        <v>3</v>
      </c>
      <c r="K12" s="968">
        <f>-'Part VI-Pro Forma'!$D29/12</f>
        <v>0</v>
      </c>
    </row>
    <row r="13" spans="1:11" ht="20.25" customHeight="1">
      <c r="A13" s="967">
        <v>4</v>
      </c>
      <c r="B13" s="968">
        <f>-'Part VI-Pro Forma'!$E26/12</f>
        <v>33912.651930685606</v>
      </c>
      <c r="D13" s="967">
        <v>4</v>
      </c>
      <c r="E13" s="968">
        <f>-'Part VI-Pro Forma'!$E27/12</f>
        <v>6271.8967648239995</v>
      </c>
      <c r="G13" s="967">
        <v>4</v>
      </c>
      <c r="H13" s="968">
        <f>-'Part VI-Pro Forma'!$E28/12</f>
        <v>0</v>
      </c>
      <c r="J13" s="967">
        <v>4</v>
      </c>
      <c r="K13" s="968">
        <f>-'Part VI-Pro Forma'!$E29/12</f>
        <v>0</v>
      </c>
    </row>
    <row r="14" spans="1:11" ht="20.25" customHeight="1">
      <c r="A14" s="1393">
        <v>5</v>
      </c>
      <c r="B14" s="1394">
        <f>-'Part VI-Pro Forma'!$F26/12</f>
        <v>33912.651930685606</v>
      </c>
      <c r="D14" s="1393">
        <v>5</v>
      </c>
      <c r="E14" s="1394">
        <f>-'Part VI-Pro Forma'!$F27/12</f>
        <v>6482.4139918704741</v>
      </c>
      <c r="G14" s="1393">
        <v>5</v>
      </c>
      <c r="H14" s="1394">
        <f>-'Part VI-Pro Forma'!$F28/12</f>
        <v>0</v>
      </c>
      <c r="J14" s="1393">
        <v>5</v>
      </c>
      <c r="K14" s="1394">
        <f>-'Part VI-Pro Forma'!$F29/12</f>
        <v>0</v>
      </c>
    </row>
    <row r="15" spans="1:11" ht="20.25" customHeight="1">
      <c r="A15" s="967">
        <v>6</v>
      </c>
      <c r="B15" s="968">
        <f>-'Part VI-Pro Forma'!$G26/12</f>
        <v>33912.651930685606</v>
      </c>
      <c r="D15" s="967">
        <v>6</v>
      </c>
      <c r="E15" s="968">
        <f>-'Part VI-Pro Forma'!$G27/12</f>
        <v>6689.3913972103983</v>
      </c>
      <c r="G15" s="967">
        <v>6</v>
      </c>
      <c r="H15" s="968">
        <f>-'Part VI-Pro Forma'!$G28/12</f>
        <v>0</v>
      </c>
      <c r="J15" s="967">
        <v>6</v>
      </c>
      <c r="K15" s="968">
        <f>-'Part VI-Pro Forma'!$G29/12</f>
        <v>0</v>
      </c>
    </row>
    <row r="16" spans="1:11" ht="20.25" customHeight="1">
      <c r="A16" s="967">
        <v>7</v>
      </c>
      <c r="B16" s="968">
        <f>-'Part VI-Pro Forma'!$H26/12</f>
        <v>33912.651930685606</v>
      </c>
      <c r="D16" s="967">
        <v>7</v>
      </c>
      <c r="E16" s="968">
        <f>-'Part VI-Pro Forma'!$H27/12</f>
        <v>6892.525679422165</v>
      </c>
      <c r="G16" s="967">
        <v>7</v>
      </c>
      <c r="H16" s="968">
        <f>-'Part VI-Pro Forma'!$H28/12</f>
        <v>0</v>
      </c>
      <c r="J16" s="967">
        <v>7</v>
      </c>
      <c r="K16" s="968">
        <f>-'Part VI-Pro Forma'!$H29/12</f>
        <v>0</v>
      </c>
    </row>
    <row r="17" spans="1:11" ht="20.25" customHeight="1">
      <c r="A17" s="967">
        <v>8</v>
      </c>
      <c r="B17" s="968">
        <f>-'Part VI-Pro Forma'!$I26/12</f>
        <v>33912.651930685606</v>
      </c>
      <c r="D17" s="967">
        <v>8</v>
      </c>
      <c r="E17" s="968">
        <f>-'Part VI-Pro Forma'!$I27/12</f>
        <v>7091.5004959062198</v>
      </c>
      <c r="G17" s="967">
        <v>8</v>
      </c>
      <c r="H17" s="968">
        <f>-'Part VI-Pro Forma'!$I28/12</f>
        <v>0</v>
      </c>
      <c r="J17" s="967">
        <v>8</v>
      </c>
      <c r="K17" s="968">
        <f>-'Part VI-Pro Forma'!$I29/12</f>
        <v>0</v>
      </c>
    </row>
    <row r="18" spans="1:11" ht="20.25" customHeight="1">
      <c r="A18" s="967">
        <v>9</v>
      </c>
      <c r="B18" s="968">
        <f>-'Part VI-Pro Forma'!$J26/12</f>
        <v>33912.651930685606</v>
      </c>
      <c r="D18" s="967">
        <v>9</v>
      </c>
      <c r="E18" s="968">
        <f>-'Part VI-Pro Forma'!$J27/12</f>
        <v>7285.9859928068136</v>
      </c>
      <c r="G18" s="967">
        <v>9</v>
      </c>
      <c r="H18" s="968">
        <f>-'Part VI-Pro Forma'!$J28/12</f>
        <v>0</v>
      </c>
      <c r="J18" s="967">
        <v>9</v>
      </c>
      <c r="K18" s="968">
        <f>-'Part VI-Pro Forma'!$J29/12</f>
        <v>0</v>
      </c>
    </row>
    <row r="19" spans="1:11" ht="20.25" customHeight="1">
      <c r="A19" s="1393">
        <v>10</v>
      </c>
      <c r="B19" s="1394">
        <f>-'Part VI-Pro Forma'!$K26/12</f>
        <v>33912.651930685606</v>
      </c>
      <c r="D19" s="1393">
        <v>10</v>
      </c>
      <c r="E19" s="1394">
        <f>-'Part VI-Pro Forma'!$K27/12</f>
        <v>7475.6383192548828</v>
      </c>
      <c r="G19" s="1393">
        <v>10</v>
      </c>
      <c r="H19" s="1394">
        <f>-'Part VI-Pro Forma'!$K28/12</f>
        <v>0</v>
      </c>
      <c r="J19" s="1393">
        <v>10</v>
      </c>
      <c r="K19" s="1394">
        <f>-'Part VI-Pro Forma'!$K29/12</f>
        <v>0</v>
      </c>
    </row>
    <row r="20" spans="1:11" ht="20.25" customHeight="1">
      <c r="A20" s="967">
        <v>11</v>
      </c>
      <c r="B20" s="968">
        <f>-'Part VI-Pro Forma'!$B58/12</f>
        <v>33912.651930685606</v>
      </c>
      <c r="D20" s="967">
        <v>11</v>
      </c>
      <c r="E20" s="968">
        <f>-'Part VI-Pro Forma'!$B59/12</f>
        <v>7660.0991254296923</v>
      </c>
      <c r="G20" s="967">
        <v>11</v>
      </c>
      <c r="H20" s="968">
        <f>-'Part VI-Pro Forma'!$B60/12</f>
        <v>0</v>
      </c>
      <c r="J20" s="967">
        <v>11</v>
      </c>
      <c r="K20" s="968">
        <f>-'Part VI-Pro Forma'!$B61/12</f>
        <v>0</v>
      </c>
    </row>
    <row r="21" spans="1:11" ht="20.25" customHeight="1">
      <c r="A21" s="967">
        <v>12</v>
      </c>
      <c r="B21" s="968">
        <f>-'Part VI-Pro Forma'!$C58/12</f>
        <v>33912.651930685606</v>
      </c>
      <c r="D21" s="967">
        <v>12</v>
      </c>
      <c r="E21" s="968">
        <f>-'Part VI-Pro Forma'!$C59/12</f>
        <v>7838.9950439216764</v>
      </c>
      <c r="G21" s="967">
        <v>12</v>
      </c>
      <c r="H21" s="968">
        <f>-'Part VI-Pro Forma'!$C60/12</f>
        <v>0</v>
      </c>
      <c r="J21" s="967">
        <v>12</v>
      </c>
      <c r="K21" s="968">
        <f>-'Part VI-Pro Forma'!$C61/12</f>
        <v>0</v>
      </c>
    </row>
    <row r="22" spans="1:11" ht="20.25" customHeight="1">
      <c r="A22" s="967">
        <v>13</v>
      </c>
      <c r="B22" s="968">
        <f>-'Part VI-Pro Forma'!$D58/12</f>
        <v>33912.651930685606</v>
      </c>
      <c r="D22" s="967">
        <v>13</v>
      </c>
      <c r="E22" s="968">
        <f>-'Part VI-Pro Forma'!$D59/12</f>
        <v>8011.9371538630066</v>
      </c>
      <c r="G22" s="967">
        <v>13</v>
      </c>
      <c r="H22" s="968">
        <f>-'Part VI-Pro Forma'!$D60/12</f>
        <v>0</v>
      </c>
      <c r="J22" s="967">
        <v>13</v>
      </c>
      <c r="K22" s="968">
        <f>-'Part VI-Pro Forma'!$D61/12</f>
        <v>0</v>
      </c>
    </row>
    <row r="23" spans="1:11" ht="20.25" customHeight="1">
      <c r="A23" s="967">
        <v>14</v>
      </c>
      <c r="B23" s="968">
        <f>-'Part VI-Pro Forma'!$E58/12</f>
        <v>33912.651930685606</v>
      </c>
      <c r="D23" s="967">
        <v>14</v>
      </c>
      <c r="E23" s="968">
        <f>-'Part VI-Pro Forma'!$E59/12</f>
        <v>8178.5204272750461</v>
      </c>
      <c r="G23" s="967">
        <v>14</v>
      </c>
      <c r="H23" s="968">
        <f>-'Part VI-Pro Forma'!$E60/12</f>
        <v>0</v>
      </c>
      <c r="J23" s="967">
        <v>14</v>
      </c>
      <c r="K23" s="968">
        <f>-'Part VI-Pro Forma'!$E61/12</f>
        <v>0</v>
      </c>
    </row>
    <row r="24" spans="1:11" ht="20.25" customHeight="1">
      <c r="A24" s="1393">
        <v>15</v>
      </c>
      <c r="B24" s="1394">
        <f>-'Part VI-Pro Forma'!$F58/12</f>
        <v>33912.651930685606</v>
      </c>
      <c r="D24" s="1393">
        <v>15</v>
      </c>
      <c r="E24" s="1394">
        <f>-'Part VI-Pro Forma'!$F59/12</f>
        <v>8338.3231570653788</v>
      </c>
      <c r="G24" s="1393">
        <v>15</v>
      </c>
      <c r="H24" s="1394">
        <f>-'Part VI-Pro Forma'!$F60/12</f>
        <v>0</v>
      </c>
      <c r="J24" s="1393">
        <v>15</v>
      </c>
      <c r="K24" s="1394">
        <f>-'Part VI-Pro Forma'!$F61/12</f>
        <v>0</v>
      </c>
    </row>
    <row r="25" spans="1:11" ht="20.25" customHeight="1">
      <c r="A25" s="967">
        <v>16</v>
      </c>
      <c r="B25" s="968">
        <f>-'Part VI-Pro Forma'!$G58/12</f>
        <v>33912.651930685606</v>
      </c>
      <c r="D25" s="967">
        <v>16</v>
      </c>
      <c r="E25" s="968">
        <f>-'Part VI-Pro Forma'!$G59/12</f>
        <v>8705.4896994221835</v>
      </c>
      <c r="G25" s="967">
        <v>16</v>
      </c>
      <c r="H25" s="968">
        <f>-'Part VI-Pro Forma'!$G60/12</f>
        <v>0</v>
      </c>
      <c r="J25" s="967">
        <v>16</v>
      </c>
      <c r="K25" s="968">
        <f>-'Part VI-Pro Forma'!$G61/12</f>
        <v>0</v>
      </c>
    </row>
    <row r="26" spans="1:11" ht="20.25" customHeight="1">
      <c r="A26" s="967">
        <v>17</v>
      </c>
      <c r="B26" s="968">
        <f>-'Part VI-Pro Forma'!$H58/12</f>
        <v>33912.651930685606</v>
      </c>
      <c r="D26" s="967">
        <v>17</v>
      </c>
      <c r="E26" s="968">
        <f>-'Part VI-Pro Forma'!$H59/12</f>
        <v>8850.3965300026121</v>
      </c>
      <c r="G26" s="967">
        <v>17</v>
      </c>
      <c r="H26" s="968">
        <f>-'Part VI-Pro Forma'!$H60/12</f>
        <v>0</v>
      </c>
      <c r="J26" s="967">
        <v>17</v>
      </c>
      <c r="K26" s="968">
        <f>-'Part VI-Pro Forma'!$H61/12</f>
        <v>0</v>
      </c>
    </row>
    <row r="27" spans="1:11" ht="20.25" customHeight="1">
      <c r="A27" s="967">
        <v>18</v>
      </c>
      <c r="B27" s="968">
        <f>-'Part VI-Pro Forma'!$I58/12</f>
        <v>33912.651930685606</v>
      </c>
      <c r="D27" s="967">
        <v>18</v>
      </c>
      <c r="E27" s="968">
        <f>-'Part VI-Pro Forma'!$I59/12</f>
        <v>8987.1516132923771</v>
      </c>
      <c r="G27" s="967">
        <v>18</v>
      </c>
      <c r="H27" s="968">
        <f>-'Part VI-Pro Forma'!$I60/12</f>
        <v>0</v>
      </c>
      <c r="J27" s="967">
        <v>18</v>
      </c>
      <c r="K27" s="968">
        <f>-'Part VI-Pro Forma'!$I61/12</f>
        <v>0</v>
      </c>
    </row>
    <row r="28" spans="1:11" ht="20.25" customHeight="1">
      <c r="A28" s="967">
        <v>19</v>
      </c>
      <c r="B28" s="968">
        <f>-'Part VI-Pro Forma'!$J58/12</f>
        <v>33912.651930685606</v>
      </c>
      <c r="D28" s="967">
        <v>19</v>
      </c>
      <c r="E28" s="968">
        <f>-'Part VI-Pro Forma'!$J59/12</f>
        <v>9115.260417828651</v>
      </c>
      <c r="G28" s="967">
        <v>19</v>
      </c>
      <c r="H28" s="968">
        <f>-'Part VI-Pro Forma'!$J60/12</f>
        <v>0</v>
      </c>
      <c r="J28" s="967">
        <v>19</v>
      </c>
      <c r="K28" s="968">
        <f>-'Part VI-Pro Forma'!$J61/12</f>
        <v>0</v>
      </c>
    </row>
    <row r="29" spans="1:11" ht="20.25" customHeight="1">
      <c r="A29" s="1393">
        <v>20</v>
      </c>
      <c r="B29" s="1394">
        <f>-'Part VI-Pro Forma'!$K58/12</f>
        <v>33912.651930685606</v>
      </c>
      <c r="D29" s="1393">
        <v>20</v>
      </c>
      <c r="E29" s="1394">
        <f>-'Part VI-Pro Forma'!$K59/12</f>
        <v>9234.2085766237451</v>
      </c>
      <c r="G29" s="1393">
        <v>20</v>
      </c>
      <c r="H29" s="1394">
        <f>-'Part VI-Pro Forma'!$K60/12</f>
        <v>0</v>
      </c>
      <c r="J29" s="1393">
        <v>20</v>
      </c>
      <c r="K29" s="1394">
        <f>-'Part VI-Pro Forma'!$K61/12</f>
        <v>0</v>
      </c>
    </row>
    <row r="30" spans="1:11" ht="20.25" customHeight="1">
      <c r="A30" s="967">
        <v>21</v>
      </c>
      <c r="B30" s="968">
        <f>-'Part VI-Pro Forma'!$B90/12</f>
        <v>33912.651930685606</v>
      </c>
      <c r="D30" s="967">
        <v>21</v>
      </c>
      <c r="E30" s="968">
        <f>-'Part VI-Pro Forma'!$B91/12</f>
        <v>9343.4611921079213</v>
      </c>
      <c r="G30" s="967">
        <v>21</v>
      </c>
      <c r="H30" s="968">
        <f>-'Part VI-Pro Forma'!$B92/12</f>
        <v>0</v>
      </c>
      <c r="J30" s="967">
        <v>21</v>
      </c>
      <c r="K30" s="968">
        <f>-'Part VI-Pro Forma'!$B93/12</f>
        <v>0</v>
      </c>
    </row>
    <row r="31" spans="1:11" ht="20.25" customHeight="1">
      <c r="A31" s="967">
        <v>22</v>
      </c>
      <c r="B31" s="968">
        <f>-'Part VI-Pro Forma'!$C90/12</f>
        <v>33912.651930685606</v>
      </c>
      <c r="D31" s="967">
        <v>22</v>
      </c>
      <c r="E31" s="968">
        <f>-'Part VI-Pro Forma'!$C91/12</f>
        <v>2015</v>
      </c>
      <c r="G31" s="967">
        <v>22</v>
      </c>
      <c r="H31" s="968">
        <f>-'Part VI-Pro Forma'!$C92/12</f>
        <v>0</v>
      </c>
      <c r="J31" s="967">
        <v>22</v>
      </c>
      <c r="K31" s="968">
        <f>-'Part VI-Pro Forma'!$C93/12</f>
        <v>0</v>
      </c>
    </row>
    <row r="32" spans="1:11" ht="20.25" customHeight="1">
      <c r="A32" s="967">
        <v>23</v>
      </c>
      <c r="B32" s="968">
        <f>-'Part VI-Pro Forma'!$D90/12</f>
        <v>33912.651930685606</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33912.651930685606</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33912.651930685606</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33912.651930685606</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33912.651930685606</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33912.651930685606</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33912.651930685606</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33912.651930685606</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33912.651930685606</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33912.651930685606</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33912.651930685606</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33912.651930685606</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33912.651930685606</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3" t="str">
        <f>CONCATENATE('Sensitivity Analysis'!E8,"  ",'Sensitivity Analysis'!C8)</f>
        <v>2024-0  Redland Trace</v>
      </c>
      <c r="B1" s="4683"/>
      <c r="C1" s="4683"/>
      <c r="D1" s="4683"/>
      <c r="E1" s="4683"/>
      <c r="F1" s="4683"/>
      <c r="G1" s="4683"/>
      <c r="H1" s="4683"/>
    </row>
    <row r="3" spans="1:11" ht="12" customHeight="1">
      <c r="A3" s="4684" t="s">
        <v>3020</v>
      </c>
      <c r="B3" s="4684"/>
      <c r="C3" s="4684"/>
      <c r="D3" s="4684"/>
      <c r="E3" s="4684"/>
      <c r="F3" s="4684"/>
      <c r="G3" s="4684"/>
      <c r="H3" s="4684"/>
      <c r="I3" s="1006"/>
      <c r="J3" s="4686" t="s">
        <v>3371</v>
      </c>
      <c r="K3" s="4686"/>
    </row>
    <row r="4" spans="1:11">
      <c r="J4" s="4686"/>
      <c r="K4" s="4686"/>
    </row>
    <row r="5" spans="1:11" ht="12" customHeight="1">
      <c r="A5" s="431">
        <v>1</v>
      </c>
      <c r="C5" s="431" t="s">
        <v>2730</v>
      </c>
      <c r="E5" s="608">
        <f>'Sensitivity Analysis'!H9</f>
        <v>0</v>
      </c>
      <c r="J5" s="4686"/>
      <c r="K5" s="4686"/>
    </row>
    <row r="6" spans="1:11" ht="3" customHeight="1">
      <c r="H6" s="599"/>
      <c r="J6" s="4686"/>
      <c r="K6" s="4686"/>
    </row>
    <row r="7" spans="1:11" ht="12" customHeight="1">
      <c r="A7" s="431">
        <v>2</v>
      </c>
      <c r="C7" s="431" t="s">
        <v>2731</v>
      </c>
      <c r="E7" s="4682"/>
      <c r="F7" s="4682"/>
      <c r="G7" s="4682"/>
      <c r="H7" s="4682"/>
      <c r="J7" s="4686"/>
      <c r="K7" s="4686"/>
    </row>
    <row r="8" spans="1:11" ht="12" customHeight="1">
      <c r="E8" s="4682"/>
      <c r="F8" s="4682"/>
      <c r="G8" s="4682"/>
      <c r="H8" s="4682"/>
      <c r="J8" s="4686"/>
      <c r="K8" s="4686"/>
    </row>
    <row r="9" spans="1:11" ht="12" customHeight="1">
      <c r="C9" s="431" t="s">
        <v>2732</v>
      </c>
      <c r="E9" s="4685"/>
      <c r="F9" s="4685"/>
      <c r="J9" s="4686"/>
      <c r="K9" s="4686"/>
    </row>
    <row r="10" spans="1:11" ht="12" customHeight="1">
      <c r="C10" s="431" t="s">
        <v>2733</v>
      </c>
      <c r="E10" s="4682"/>
      <c r="F10" s="4682"/>
      <c r="G10" s="4682"/>
      <c r="H10" s="4682"/>
    </row>
    <row r="11" spans="1:11" ht="12" customHeight="1">
      <c r="C11" s="431" t="s">
        <v>3376</v>
      </c>
      <c r="E11" s="4682"/>
      <c r="F11" s="4682"/>
      <c r="G11" s="4682"/>
      <c r="H11" s="4682"/>
    </row>
    <row r="12" spans="1:11" ht="12" customHeight="1">
      <c r="C12" s="431" t="s">
        <v>3372</v>
      </c>
      <c r="E12" s="1899"/>
    </row>
    <row r="13" spans="1:11" ht="12" customHeight="1">
      <c r="C13" s="431" t="s">
        <v>3375</v>
      </c>
      <c r="E13" s="1899"/>
    </row>
    <row r="14" spans="1:11" ht="3" customHeight="1"/>
    <row r="15" spans="1:11" ht="12" customHeight="1">
      <c r="A15" s="431">
        <v>3</v>
      </c>
      <c r="C15" s="431" t="s">
        <v>2734</v>
      </c>
      <c r="E15" s="608" t="str">
        <f>'Sensitivity Analysis'!C8</f>
        <v>Redland Trace</v>
      </c>
    </row>
    <row r="16" spans="1:11" ht="12" customHeight="1">
      <c r="C16" s="431" t="s">
        <v>2735</v>
      </c>
      <c r="E16" s="4682"/>
      <c r="F16" s="4682"/>
      <c r="G16" s="4682"/>
      <c r="H16" s="4682"/>
    </row>
    <row r="17" spans="1:8" ht="12" customHeight="1">
      <c r="E17" s="437" t="str">
        <f>'Part I-Project Identification'!F27</f>
        <v>Lawrenceville</v>
      </c>
      <c r="F17" s="598" t="s">
        <v>790</v>
      </c>
      <c r="G17" s="4681" t="s">
        <v>4641</v>
      </c>
      <c r="H17" s="4681"/>
    </row>
    <row r="18" spans="1:8" ht="12" customHeight="1">
      <c r="E18" s="608" t="str">
        <f>'Part I-Project Identification'!J27</f>
        <v>Gwinnett</v>
      </c>
    </row>
    <row r="19" spans="1:8" ht="3" customHeight="1"/>
    <row r="20" spans="1:8" ht="12" customHeight="1">
      <c r="A20" s="431">
        <v>4</v>
      </c>
      <c r="C20" s="431" t="s">
        <v>2736</v>
      </c>
      <c r="E20" s="4682"/>
      <c r="F20" s="4682"/>
      <c r="G20" s="4682"/>
      <c r="H20" s="4682"/>
    </row>
    <row r="21" spans="1:8" ht="12" customHeight="1">
      <c r="C21" s="431" t="s">
        <v>2737</v>
      </c>
      <c r="E21" s="4682"/>
      <c r="F21" s="4682"/>
      <c r="G21" s="4682"/>
      <c r="H21" s="4682"/>
    </row>
    <row r="22" spans="1:8" ht="12" customHeight="1">
      <c r="E22" s="4682"/>
      <c r="F22" s="4682"/>
      <c r="G22" s="4682"/>
      <c r="H22" s="4682"/>
    </row>
    <row r="23" spans="1:8" ht="12" customHeight="1">
      <c r="C23" s="431" t="s">
        <v>3372</v>
      </c>
      <c r="E23" s="1899"/>
    </row>
    <row r="24" spans="1:8" ht="12" customHeight="1">
      <c r="C24" s="431" t="s">
        <v>3375</v>
      </c>
      <c r="E24" s="1899"/>
    </row>
    <row r="25" spans="1:8" ht="12" customHeight="1">
      <c r="C25" s="431" t="s">
        <v>3376</v>
      </c>
      <c r="E25" s="4682"/>
      <c r="F25" s="4682"/>
      <c r="G25" s="4682"/>
      <c r="H25" s="4682"/>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20000000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192</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2"/>
      <c r="F48" s="4682"/>
      <c r="G48" s="4682"/>
      <c r="H48" s="4682"/>
    </row>
    <row r="49" spans="1:8" ht="3" customHeight="1">
      <c r="E49" s="608"/>
    </row>
    <row r="50" spans="1:8" ht="12" customHeight="1">
      <c r="A50" s="431">
        <v>15</v>
      </c>
      <c r="C50" s="431" t="s">
        <v>3378</v>
      </c>
      <c r="E50" s="4682"/>
      <c r="F50" s="4682"/>
      <c r="G50" s="4682"/>
      <c r="H50" s="4682"/>
    </row>
    <row r="51" spans="1:8" ht="12" customHeight="1">
      <c r="C51" s="431" t="s">
        <v>2754</v>
      </c>
      <c r="E51" s="4682"/>
      <c r="F51" s="4682"/>
      <c r="G51" s="4682"/>
      <c r="H51" s="4682"/>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3377</v>
      </c>
    </row>
    <row r="58" spans="1:8" ht="3" customHeight="1">
      <c r="F58" s="603"/>
    </row>
    <row r="59" spans="1:8" ht="12" customHeight="1">
      <c r="A59" s="431">
        <v>19</v>
      </c>
      <c r="C59" s="431" t="s">
        <v>2758</v>
      </c>
      <c r="F59" s="1469">
        <f>'Part VII-Threshold Criteria OLD'!$P$44</f>
        <v>0</v>
      </c>
      <c r="G59" s="431" t="s">
        <v>3021</v>
      </c>
    </row>
    <row r="60" spans="1:8" ht="3" customHeight="1">
      <c r="F60" s="603"/>
    </row>
    <row r="61" spans="1:8" ht="12" customHeight="1">
      <c r="A61" s="431">
        <v>20</v>
      </c>
      <c r="C61" s="431" t="s">
        <v>2759</v>
      </c>
      <c r="F61" s="1014">
        <f>'Subsidy Layering Memo'!$L$70</f>
        <v>4235330.2672176417</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4060</v>
      </c>
    </row>
    <row r="65" spans="1:7" ht="12" customHeight="1">
      <c r="E65" s="1015" t="s">
        <v>3022</v>
      </c>
      <c r="F65" s="1016" t="s">
        <v>3023</v>
      </c>
      <c r="G65" s="1015" t="s">
        <v>4061</v>
      </c>
    </row>
    <row r="66" spans="1:7" ht="12" customHeight="1">
      <c r="E66" s="1015" t="s">
        <v>3022</v>
      </c>
      <c r="F66" s="1016" t="s">
        <v>3023</v>
      </c>
      <c r="G66" s="1015" t="s">
        <v>4062</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511000</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148000</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7" t="s">
        <v>2893</v>
      </c>
      <c r="B1" s="4697"/>
      <c r="C1" s="4697"/>
      <c r="D1" s="4697"/>
      <c r="E1" s="4697"/>
      <c r="F1" s="4697"/>
      <c r="G1" s="4697"/>
      <c r="H1" s="4697"/>
      <c r="I1" s="4697"/>
      <c r="J1" s="4697"/>
    </row>
    <row r="2" spans="1:13" ht="15">
      <c r="A2" s="4697" t="str">
        <f>'Sensitivity Analysis'!E8&amp;"  "&amp;'Sensitivity Analysis'!C8</f>
        <v>2024-0  Redland Trace</v>
      </c>
      <c r="B2" s="4697"/>
      <c r="C2" s="4697"/>
      <c r="D2" s="4697"/>
      <c r="E2" s="4697"/>
      <c r="F2" s="4697"/>
      <c r="G2" s="4697"/>
      <c r="H2" s="4697"/>
      <c r="I2" s="4697"/>
      <c r="J2" s="4697"/>
    </row>
    <row r="3" spans="1:13" ht="6" customHeight="1">
      <c r="K3" s="4686" t="s">
        <v>3371</v>
      </c>
      <c r="L3" s="4686"/>
      <c r="M3" s="4686"/>
    </row>
    <row r="4" spans="1:13" ht="12" customHeight="1">
      <c r="A4" s="601" t="s">
        <v>2769</v>
      </c>
      <c r="K4" s="4686"/>
      <c r="L4" s="4686"/>
      <c r="M4" s="4686"/>
    </row>
    <row r="5" spans="1:13" ht="12" customHeight="1">
      <c r="A5" s="431" t="s">
        <v>2770</v>
      </c>
      <c r="C5" s="549" t="str">
        <f>'Subsidy Layering Memo'!D6</f>
        <v>(Underwriter)</v>
      </c>
      <c r="I5" s="549"/>
      <c r="K5" s="4686"/>
      <c r="L5" s="4686"/>
      <c r="M5" s="4686"/>
    </row>
    <row r="6" spans="1:13" ht="6" customHeight="1">
      <c r="C6" s="549"/>
      <c r="D6" s="549"/>
      <c r="I6" s="549"/>
      <c r="K6" s="4686"/>
      <c r="L6" s="4686"/>
      <c r="M6" s="4686"/>
    </row>
    <row r="7" spans="1:13" ht="12" customHeight="1">
      <c r="A7" s="601" t="s">
        <v>2771</v>
      </c>
      <c r="C7" s="549"/>
      <c r="D7" s="549"/>
      <c r="I7" s="549"/>
      <c r="K7" s="4686"/>
      <c r="L7" s="4686"/>
      <c r="M7" s="4686"/>
    </row>
    <row r="8" spans="1:13" ht="12" customHeight="1">
      <c r="A8" s="431" t="s">
        <v>2772</v>
      </c>
      <c r="C8" s="549">
        <f>'Sensitivity Analysis'!$H$9</f>
        <v>0</v>
      </c>
      <c r="I8" s="549"/>
      <c r="K8" s="4686"/>
      <c r="L8" s="4686"/>
      <c r="M8" s="4686"/>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7"/>
      <c r="E13" s="4687"/>
      <c r="F13" s="4687"/>
      <c r="G13" s="4687"/>
      <c r="H13" s="4687"/>
      <c r="I13" s="4687"/>
      <c r="J13" s="4687"/>
    </row>
    <row r="14" spans="1:13" ht="3" customHeight="1">
      <c r="G14" s="549"/>
      <c r="H14" s="549"/>
      <c r="I14" s="549"/>
    </row>
    <row r="15" spans="1:13" ht="12" customHeight="1">
      <c r="A15" s="431" t="s">
        <v>2775</v>
      </c>
      <c r="C15" s="602">
        <f>'Preview term'!E10</f>
        <v>0</v>
      </c>
      <c r="G15" s="549"/>
      <c r="I15" s="549"/>
    </row>
    <row r="16" spans="1:13" ht="12" customHeight="1">
      <c r="A16" s="608" t="s">
        <v>3544</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Redland Trace</v>
      </c>
      <c r="I28" s="549"/>
    </row>
    <row r="29" spans="1:9" ht="3" customHeight="1">
      <c r="C29" s="602"/>
      <c r="I29" s="549"/>
    </row>
    <row r="30" spans="1:9" ht="12" customHeight="1">
      <c r="A30" s="431" t="s">
        <v>2782</v>
      </c>
      <c r="C30" s="602">
        <f>'Preview term'!E16</f>
        <v>0</v>
      </c>
      <c r="I30" s="549"/>
    </row>
    <row r="31" spans="1:9">
      <c r="C31" s="549" t="str">
        <f>'Preview term'!E17</f>
        <v>Lawrenceville</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1" t="e">
        <f>D35-D33</f>
        <v>#VALUE!</v>
      </c>
      <c r="I34" s="549"/>
    </row>
    <row r="35" spans="1:10" ht="12" customHeight="1">
      <c r="C35" s="549" t="s">
        <v>2786</v>
      </c>
      <c r="D35" s="2392">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4063</v>
      </c>
      <c r="C39" s="4698" t="str">
        <f>_xlfn.CONCAT('Part VII-Threshold Criteria OLD'!K192," and ",'Part VII-Threshold Criteria OLD'!K193)</f>
        <v>&lt;&lt;Select&gt;&gt; and &lt;&lt;Select&gt;&gt;</v>
      </c>
      <c r="D39" s="4698"/>
      <c r="E39" s="4698"/>
      <c r="F39" s="4698"/>
      <c r="G39" s="4698"/>
      <c r="H39" s="4698"/>
      <c r="I39" s="4698"/>
      <c r="J39" s="4698"/>
    </row>
    <row r="40" spans="1:10" ht="25.5" customHeight="1">
      <c r="A40" s="605" t="s">
        <v>4064</v>
      </c>
      <c r="C40" s="469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8"/>
      <c r="E40" s="4698"/>
      <c r="F40" s="4698"/>
      <c r="G40" s="4698"/>
      <c r="H40" s="4698"/>
      <c r="I40" s="4698"/>
      <c r="J40" s="4698"/>
    </row>
    <row r="41" spans="1:10" ht="3" customHeight="1">
      <c r="G41" s="549"/>
      <c r="H41" s="549"/>
      <c r="I41" s="549"/>
    </row>
    <row r="42" spans="1:10" ht="25.5" customHeight="1">
      <c r="A42" s="605" t="s">
        <v>2789</v>
      </c>
      <c r="C42" s="4698" t="s">
        <v>3024</v>
      </c>
      <c r="D42" s="4698"/>
      <c r="E42" s="4698"/>
      <c r="F42" s="4698"/>
      <c r="G42" s="4698"/>
      <c r="H42" s="4698"/>
      <c r="I42" s="4698"/>
      <c r="J42" s="4698"/>
    </row>
    <row r="43" spans="1:10" ht="3" customHeight="1">
      <c r="C43" s="437"/>
      <c r="D43" s="437"/>
      <c r="E43" s="437"/>
      <c r="F43" s="437"/>
      <c r="G43" s="437"/>
      <c r="H43" s="438"/>
      <c r="I43" s="438"/>
      <c r="J43" s="438"/>
    </row>
    <row r="44" spans="1:10" ht="12" customHeight="1">
      <c r="A44" s="431" t="s">
        <v>2790</v>
      </c>
      <c r="C44" s="503" t="str">
        <f>'Part I-Project Identification'!J27</f>
        <v>Gwinnett</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0">
        <f>'Preview term'!F59</f>
        <v>0</v>
      </c>
      <c r="I48" s="606"/>
      <c r="J48" s="606"/>
    </row>
    <row r="49" spans="1:10" ht="3" customHeight="1">
      <c r="D49" s="606"/>
      <c r="E49" s="606"/>
      <c r="F49" s="606"/>
      <c r="G49" s="606"/>
      <c r="H49" s="549"/>
      <c r="I49" s="606"/>
      <c r="J49" s="606"/>
    </row>
    <row r="50" spans="1:10" ht="12" customHeight="1">
      <c r="A50" s="549"/>
      <c r="B50" s="431" t="s">
        <v>2793</v>
      </c>
      <c r="C50" s="4698" t="s">
        <v>532</v>
      </c>
      <c r="D50" s="4698"/>
      <c r="E50" s="4698"/>
      <c r="F50" s="4698"/>
      <c r="G50" s="4698"/>
      <c r="H50" s="4698"/>
      <c r="I50" s="4698"/>
      <c r="J50" s="4698"/>
    </row>
    <row r="51" spans="1:10" ht="12" customHeight="1">
      <c r="C51" s="4689" t="s">
        <v>1672</v>
      </c>
      <c r="D51" s="4689"/>
      <c r="E51" s="4689"/>
      <c r="F51" s="4689"/>
      <c r="G51" s="4689"/>
      <c r="H51" s="4689"/>
      <c r="I51" s="4689"/>
      <c r="J51" s="4689"/>
    </row>
    <row r="52" spans="1:10" ht="3" customHeight="1">
      <c r="D52" s="606"/>
      <c r="E52" s="606"/>
      <c r="F52" s="606"/>
      <c r="G52" s="606"/>
      <c r="H52" s="549"/>
      <c r="I52" s="606"/>
      <c r="J52" s="606"/>
    </row>
    <row r="53" spans="1:10" ht="12" customHeight="1">
      <c r="A53" s="605" t="s">
        <v>2794</v>
      </c>
      <c r="B53" s="605"/>
      <c r="C53" s="607" t="s">
        <v>2795</v>
      </c>
      <c r="D53" s="607" t="s">
        <v>3025</v>
      </c>
      <c r="E53" s="4690"/>
      <c r="F53" s="4690"/>
      <c r="G53" s="4690"/>
      <c r="H53" s="4690"/>
      <c r="I53" s="4690"/>
      <c r="J53" s="4690"/>
    </row>
    <row r="54" spans="1:10" ht="12" customHeight="1">
      <c r="A54" s="605"/>
      <c r="B54" s="605"/>
      <c r="C54" s="605"/>
      <c r="D54" s="607" t="s">
        <v>3026</v>
      </c>
      <c r="E54" s="4691"/>
      <c r="F54" s="4691"/>
      <c r="G54" s="4691"/>
      <c r="H54" s="4691"/>
      <c r="I54" s="4691"/>
      <c r="J54" s="4691"/>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20000000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7"/>
      <c r="E69" s="4687"/>
      <c r="F69" s="4687"/>
      <c r="G69" s="4687"/>
      <c r="H69" s="4687"/>
      <c r="I69" s="4687"/>
      <c r="J69" s="4687"/>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192</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4065</v>
      </c>
      <c r="G84" s="549"/>
    </row>
    <row r="85" spans="1:9" ht="3" customHeight="1">
      <c r="G85" s="549"/>
      <c r="H85" s="549"/>
      <c r="I85" s="549"/>
    </row>
    <row r="86" spans="1:9" ht="12" customHeight="1">
      <c r="A86" s="431" t="s">
        <v>2816</v>
      </c>
      <c r="C86" s="1471">
        <f>'Subsidy Layering Memo'!L70</f>
        <v>4235330.2672176417</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Truist Community Capital</v>
      </c>
      <c r="I93" s="549"/>
    </row>
    <row r="94" spans="1:9" ht="12" customHeight="1">
      <c r="C94" s="608"/>
      <c r="D94" s="549"/>
      <c r="E94" s="608" t="s">
        <v>1665</v>
      </c>
      <c r="F94" s="4682"/>
      <c r="G94" s="4682"/>
      <c r="H94" s="4682"/>
      <c r="I94" s="549"/>
    </row>
    <row r="95" spans="1:9" ht="12" customHeight="1">
      <c r="C95" s="608"/>
      <c r="D95" s="549"/>
      <c r="E95" s="608" t="s">
        <v>1835</v>
      </c>
      <c r="F95" s="4692"/>
      <c r="G95" s="4692"/>
      <c r="H95" s="4692"/>
      <c r="I95" s="549"/>
    </row>
    <row r="96" spans="1:9" ht="12" customHeight="1">
      <c r="C96" s="608"/>
      <c r="D96" s="549"/>
      <c r="E96" s="608" t="s">
        <v>1667</v>
      </c>
      <c r="F96" s="4685"/>
      <c r="G96" s="4685"/>
      <c r="H96" s="4685"/>
      <c r="I96" s="549"/>
    </row>
    <row r="97" spans="1:10" ht="12" customHeight="1">
      <c r="B97" s="603"/>
      <c r="C97" s="610" t="s">
        <v>2905</v>
      </c>
      <c r="D97" s="549" t="s">
        <v>2822</v>
      </c>
      <c r="E97" s="608" t="str">
        <f>'Part II-Sources of Funds'!E40</f>
        <v>Specialty Finance Group</v>
      </c>
      <c r="I97" s="549"/>
    </row>
    <row r="98" spans="1:10" ht="12" customHeight="1">
      <c r="C98" s="608"/>
      <c r="D98" s="549"/>
      <c r="E98" s="608" t="s">
        <v>1665</v>
      </c>
      <c r="F98" s="4682"/>
      <c r="G98" s="4682"/>
      <c r="H98" s="4682"/>
      <c r="I98" s="549"/>
    </row>
    <row r="99" spans="1:10" ht="12" customHeight="1">
      <c r="C99" s="608"/>
      <c r="D99" s="549"/>
      <c r="E99" s="608" t="s">
        <v>1835</v>
      </c>
      <c r="F99" s="4692"/>
      <c r="G99" s="4692"/>
      <c r="H99" s="4692"/>
      <c r="I99" s="549"/>
    </row>
    <row r="100" spans="1:10" ht="12" customHeight="1">
      <c r="C100" s="608"/>
      <c r="D100" s="549"/>
      <c r="E100" s="608" t="s">
        <v>1667</v>
      </c>
      <c r="F100" s="4685"/>
      <c r="G100" s="4685"/>
      <c r="H100" s="4685"/>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3"/>
      <c r="E107" s="4693"/>
      <c r="F107" s="4693"/>
      <c r="G107" s="4693"/>
      <c r="H107" s="4693"/>
      <c r="I107" s="4693"/>
      <c r="J107" s="4694"/>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4066</v>
      </c>
      <c r="I114" s="549"/>
    </row>
    <row r="115" spans="1:10" ht="12" customHeight="1">
      <c r="C115" s="602" t="s">
        <v>4067</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6" t="s">
        <v>4068</v>
      </c>
      <c r="F120" s="4696"/>
      <c r="G120" s="4696"/>
      <c r="H120" s="4696"/>
      <c r="I120" s="4696"/>
      <c r="J120" s="4696"/>
    </row>
    <row r="121" spans="1:10" ht="12" customHeight="1">
      <c r="C121" s="549" t="s">
        <v>2833</v>
      </c>
      <c r="D121" s="980"/>
      <c r="E121" s="4696"/>
      <c r="F121" s="4696"/>
      <c r="G121" s="4696"/>
      <c r="H121" s="4696"/>
      <c r="I121" s="4696"/>
      <c r="J121" s="4696"/>
    </row>
    <row r="122" spans="1:10" ht="12" customHeight="1">
      <c r="C122" s="549" t="s">
        <v>2834</v>
      </c>
      <c r="D122" s="980"/>
      <c r="E122" s="4696"/>
      <c r="F122" s="4696"/>
      <c r="G122" s="4696"/>
      <c r="H122" s="4696"/>
      <c r="I122" s="4696"/>
      <c r="J122" s="4696"/>
    </row>
    <row r="123" spans="1:10" ht="12" customHeight="1">
      <c r="C123" s="549" t="s">
        <v>2834</v>
      </c>
      <c r="D123" s="980"/>
      <c r="E123" s="4696"/>
      <c r="F123" s="4696"/>
      <c r="G123" s="4696"/>
      <c r="H123" s="4696"/>
      <c r="I123" s="4696"/>
      <c r="J123" s="4696"/>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849214</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7"/>
      <c r="F166" s="4687"/>
      <c r="G166" s="4687"/>
      <c r="I166" s="549"/>
    </row>
    <row r="167" spans="1:9" ht="3" customHeight="1">
      <c r="E167" s="549"/>
      <c r="G167" s="549"/>
      <c r="I167" s="549"/>
    </row>
    <row r="168" spans="1:9" ht="12" customHeight="1">
      <c r="A168" s="431" t="s">
        <v>2857</v>
      </c>
      <c r="C168" s="431" t="s">
        <v>2858</v>
      </c>
      <c r="E168" s="620">
        <f>'Preview term'!F74</f>
        <v>511000</v>
      </c>
      <c r="G168" s="549"/>
      <c r="I168" s="549"/>
    </row>
    <row r="169" spans="1:9" ht="12" customHeight="1">
      <c r="C169" s="431" t="s">
        <v>3031</v>
      </c>
      <c r="E169" s="4687"/>
      <c r="F169" s="4687"/>
      <c r="G169" s="4687"/>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24000</v>
      </c>
      <c r="F174" s="549" t="s">
        <v>2862</v>
      </c>
    </row>
    <row r="175" spans="1:9">
      <c r="E175" s="620">
        <f>E174/12</f>
        <v>2000</v>
      </c>
      <c r="F175" s="549" t="s">
        <v>2728</v>
      </c>
    </row>
    <row r="176" spans="1:9" ht="12" customHeight="1">
      <c r="C176" s="431" t="s">
        <v>3032</v>
      </c>
      <c r="E176" s="4687"/>
      <c r="F176" s="4687"/>
      <c r="G176" s="4687"/>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7"/>
      <c r="G181" s="4687"/>
      <c r="H181" s="4687"/>
      <c r="I181" s="4687"/>
      <c r="J181" s="4687"/>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148000</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95">
        <f>'Part VII-Threshold Criteria OLD'!E372</f>
        <v>0</v>
      </c>
      <c r="G199" s="4695"/>
      <c r="H199" s="4695"/>
      <c r="I199" s="4695"/>
      <c r="J199" s="4695"/>
    </row>
    <row r="200" spans="1:10" ht="9" customHeight="1">
      <c r="G200" s="549"/>
      <c r="H200" s="549"/>
      <c r="I200" s="549"/>
    </row>
    <row r="201" spans="1:10" ht="12" customHeight="1">
      <c r="A201" s="622" t="s">
        <v>2894</v>
      </c>
      <c r="G201" s="549"/>
      <c r="H201" s="549"/>
      <c r="I201" s="613"/>
    </row>
    <row r="202" spans="1:10" ht="25.5" hidden="1" customHeight="1">
      <c r="A202" s="4688" t="str">
        <f>'Subsidy Layering Memo'!A105</f>
        <v>Include any reserve requirements; explain any reserves far in excess of 6 month ODR, 3 mo lease up, 1 year RR, 6 mo T&amp;I standards.</v>
      </c>
      <c r="B202" s="4688"/>
      <c r="C202" s="4688"/>
      <c r="D202" s="4688"/>
      <c r="E202" s="4688"/>
      <c r="F202" s="4688"/>
      <c r="G202" s="4688"/>
      <c r="H202" s="4688"/>
      <c r="I202" s="4688"/>
      <c r="J202" s="4688"/>
    </row>
    <row r="203" spans="1:10">
      <c r="A203" s="549"/>
      <c r="G203" s="549"/>
      <c r="H203" s="549"/>
      <c r="I203" s="549"/>
    </row>
    <row r="204" spans="1:10" s="513" customFormat="1" ht="15">
      <c r="A204" s="519" t="s">
        <v>4055</v>
      </c>
    </row>
    <row r="205" spans="1:10" s="513" customFormat="1" ht="14.25" customHeight="1">
      <c r="A205" s="46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61"/>
      <c r="C205" s="4661"/>
      <c r="D205" s="4661"/>
      <c r="E205" s="4661"/>
      <c r="F205" s="4661"/>
      <c r="G205" s="4661"/>
      <c r="H205" s="4661"/>
      <c r="I205" s="4661"/>
      <c r="J205" s="4661"/>
    </row>
    <row r="206" spans="1:10" s="513" customFormat="1" ht="14.25" customHeight="1">
      <c r="A206" s="4661"/>
      <c r="B206" s="4661"/>
      <c r="C206" s="4661"/>
      <c r="D206" s="4661"/>
      <c r="E206" s="4661"/>
      <c r="F206" s="4661"/>
      <c r="G206" s="4661"/>
      <c r="H206" s="4661"/>
      <c r="I206" s="4661"/>
      <c r="J206" s="4661"/>
    </row>
    <row r="207" spans="1:10" s="513" customFormat="1" ht="6.75" customHeight="1">
      <c r="A207" s="4661"/>
      <c r="B207" s="4661"/>
      <c r="C207" s="4661"/>
      <c r="D207" s="4661"/>
      <c r="E207" s="4661"/>
      <c r="F207" s="4661"/>
      <c r="G207" s="4661"/>
      <c r="H207" s="4661"/>
      <c r="I207" s="4661"/>
      <c r="J207" s="4661"/>
    </row>
    <row r="208" spans="1:10" s="513" customFormat="1" ht="21.75" customHeight="1">
      <c r="A208" s="4661"/>
      <c r="B208" s="4661"/>
      <c r="C208" s="4661"/>
      <c r="D208" s="4661"/>
      <c r="E208" s="4661"/>
      <c r="F208" s="4661"/>
      <c r="G208" s="4661"/>
      <c r="H208" s="4661"/>
      <c r="I208" s="4661"/>
      <c r="J208" s="4661"/>
    </row>
    <row r="209" spans="1:10" s="513" customFormat="1" ht="20.25" customHeight="1">
      <c r="A209" s="4661"/>
      <c r="B209" s="4661"/>
      <c r="C209" s="4661"/>
      <c r="D209" s="4661"/>
      <c r="E209" s="4661"/>
      <c r="F209" s="4661"/>
      <c r="G209" s="4661"/>
      <c r="H209" s="4661"/>
      <c r="I209" s="4661"/>
      <c r="J209" s="4661"/>
    </row>
    <row r="210" spans="1:10" s="513" customFormat="1" ht="54.75" customHeight="1">
      <c r="A210" s="4661"/>
      <c r="B210" s="4661"/>
      <c r="C210" s="4661"/>
      <c r="D210" s="4661"/>
      <c r="E210" s="4661"/>
      <c r="F210" s="4661"/>
      <c r="G210" s="4661"/>
      <c r="H210" s="4661"/>
      <c r="I210" s="4661"/>
      <c r="J210" s="4661"/>
    </row>
    <row r="211" spans="1:10" s="513" customFormat="1" ht="0.75" hidden="1" customHeight="1">
      <c r="A211" s="4661"/>
      <c r="B211" s="4661"/>
      <c r="C211" s="4661"/>
      <c r="D211" s="4661"/>
      <c r="E211" s="4661"/>
      <c r="F211" s="4661"/>
      <c r="G211" s="4661"/>
      <c r="H211" s="4661"/>
      <c r="I211" s="4661"/>
      <c r="J211" s="4661"/>
    </row>
    <row r="212" spans="1:10" s="513" customFormat="1" ht="3.75" hidden="1" customHeight="1">
      <c r="A212" s="4661"/>
      <c r="B212" s="4661"/>
      <c r="C212" s="4661"/>
      <c r="D212" s="4661"/>
      <c r="E212" s="4661"/>
      <c r="F212" s="4661"/>
      <c r="G212" s="4661"/>
      <c r="H212" s="4661"/>
      <c r="I212" s="4661"/>
      <c r="J212" s="4661"/>
    </row>
    <row r="213" spans="1:10" s="513" customFormat="1" ht="5.25" customHeight="1">
      <c r="A213" s="1192"/>
      <c r="B213" s="1192"/>
      <c r="C213" s="1192"/>
      <c r="D213" s="1192"/>
      <c r="E213" s="1192"/>
      <c r="F213" s="1192"/>
      <c r="G213" s="1192"/>
      <c r="H213" s="1192"/>
      <c r="I213" s="1192"/>
      <c r="J213" s="1192"/>
    </row>
    <row r="214" spans="1:10" s="513" customFormat="1" ht="19.5" customHeight="1">
      <c r="A214" s="4660" t="s">
        <v>4058</v>
      </c>
      <c r="B214" s="4660"/>
      <c r="C214" s="4660"/>
      <c r="D214" s="1190"/>
      <c r="E214" s="1190"/>
      <c r="F214" s="1190"/>
      <c r="G214" s="1190"/>
      <c r="H214" s="1190"/>
      <c r="I214" s="1190"/>
      <c r="J214" s="1190"/>
    </row>
    <row r="215" spans="1:10" s="513" customFormat="1" ht="22.5" customHeight="1">
      <c r="A215" s="4642" t="str">
        <f>'Subsidy Layering Memo'!A37</f>
        <v>1)</v>
      </c>
      <c r="B215" s="4642"/>
      <c r="C215" s="4642"/>
      <c r="D215" s="4642"/>
      <c r="E215" s="4642"/>
      <c r="F215" s="4642"/>
      <c r="G215" s="4642"/>
      <c r="H215" s="4642"/>
      <c r="I215" s="4642"/>
      <c r="J215" s="4642"/>
    </row>
    <row r="216" spans="1:10" s="513" customFormat="1" ht="22.5" customHeight="1">
      <c r="A216" s="4642" t="str">
        <f>'Subsidy Layering Memo'!A38</f>
        <v>2)</v>
      </c>
      <c r="B216" s="4642"/>
      <c r="C216" s="4642"/>
      <c r="D216" s="4642"/>
      <c r="E216" s="4642"/>
      <c r="F216" s="4642"/>
      <c r="G216" s="4642"/>
      <c r="H216" s="4642"/>
      <c r="I216" s="4642"/>
      <c r="J216" s="4642"/>
    </row>
    <row r="217" spans="1:10" s="513" customFormat="1" ht="22.5" customHeight="1">
      <c r="A217" s="4642" t="str">
        <f>'Subsidy Layering Memo'!A39</f>
        <v>3)</v>
      </c>
      <c r="B217" s="4642"/>
      <c r="C217" s="4642"/>
      <c r="D217" s="4642"/>
      <c r="E217" s="4642"/>
      <c r="F217" s="4642"/>
      <c r="G217" s="4642"/>
      <c r="H217" s="4642"/>
      <c r="I217" s="4642"/>
      <c r="J217" s="4642"/>
    </row>
    <row r="218" spans="1:10" s="513" customFormat="1" ht="22.5" customHeight="1">
      <c r="A218" s="4642" t="str">
        <f>'Subsidy Layering Memo'!A40</f>
        <v>4)</v>
      </c>
      <c r="B218" s="4642"/>
      <c r="C218" s="4642"/>
      <c r="D218" s="4642"/>
      <c r="E218" s="4642"/>
      <c r="F218" s="4642"/>
      <c r="G218" s="4642"/>
      <c r="H218" s="4642"/>
      <c r="I218" s="4642"/>
      <c r="J218" s="4642"/>
    </row>
    <row r="219" spans="1:10" s="513" customFormat="1" ht="22.5" customHeight="1">
      <c r="A219" s="4642" t="str">
        <f>'Subsidy Layering Memo'!A41</f>
        <v>5)</v>
      </c>
      <c r="B219" s="4642"/>
      <c r="C219" s="4642"/>
      <c r="D219" s="4642"/>
      <c r="E219" s="4642"/>
      <c r="F219" s="4642"/>
      <c r="G219" s="4642"/>
      <c r="H219" s="4642"/>
      <c r="I219" s="4642"/>
      <c r="J219" s="4642"/>
    </row>
    <row r="220" spans="1:10" s="513" customFormat="1" ht="22.5" customHeight="1">
      <c r="A220" s="4642" t="str">
        <f>'Subsidy Layering Memo'!A42</f>
        <v>6)</v>
      </c>
      <c r="B220" s="4642"/>
      <c r="C220" s="4642"/>
      <c r="D220" s="4642"/>
      <c r="E220" s="4642"/>
      <c r="F220" s="4642"/>
      <c r="G220" s="4642"/>
      <c r="H220" s="4642"/>
      <c r="I220" s="4642"/>
      <c r="J220" s="4642"/>
    </row>
    <row r="221" spans="1:10" s="513" customFormat="1" ht="22.5" customHeight="1">
      <c r="A221" s="4642" t="str">
        <f>'Subsidy Layering Memo'!A43</f>
        <v>7)</v>
      </c>
      <c r="B221" s="4642"/>
      <c r="C221" s="4642"/>
      <c r="D221" s="4642"/>
      <c r="E221" s="4642"/>
      <c r="F221" s="4642"/>
      <c r="G221" s="4642"/>
      <c r="H221" s="4642"/>
      <c r="I221" s="4642"/>
      <c r="J221" s="4642"/>
    </row>
    <row r="222" spans="1:10" s="513" customFormat="1" ht="22.5" customHeight="1">
      <c r="A222" s="4642" t="str">
        <f>'Subsidy Layering Memo'!A44</f>
        <v>8)</v>
      </c>
      <c r="B222" s="4642"/>
      <c r="C222" s="4642"/>
      <c r="D222" s="4642"/>
      <c r="E222" s="4642"/>
      <c r="F222" s="4642"/>
      <c r="G222" s="4642"/>
      <c r="H222" s="4642"/>
      <c r="I222" s="4642"/>
      <c r="J222" s="464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5" t="str">
        <f>'Part I-Project Identification'!F26</f>
        <v>Redland Trace</v>
      </c>
      <c r="E3" s="4026"/>
      <c r="F3" s="4026"/>
      <c r="G3" s="4026"/>
      <c r="H3" s="4026"/>
      <c r="I3" s="4026"/>
      <c r="J3" s="4703" t="s">
        <v>3843</v>
      </c>
      <c r="K3" s="4704"/>
    </row>
    <row r="4" spans="1:11" ht="15" customHeight="1">
      <c r="A4" s="1269" t="s">
        <v>3841</v>
      </c>
      <c r="B4" s="1270"/>
      <c r="C4" s="1271"/>
      <c r="D4" s="4699">
        <f>'Preview term'!$E$16</f>
        <v>0</v>
      </c>
      <c r="E4" s="4700"/>
      <c r="F4" s="4700"/>
      <c r="G4" s="4700"/>
      <c r="H4" s="4700"/>
      <c r="I4" s="4700"/>
      <c r="J4" s="4031" t="s">
        <v>3882</v>
      </c>
      <c r="K4" s="4032"/>
    </row>
    <row r="5" spans="1:11" ht="15" customHeight="1" thickBot="1">
      <c r="A5" s="1272" t="s">
        <v>3842</v>
      </c>
      <c r="B5" s="1273"/>
      <c r="C5" s="1274"/>
      <c r="D5" s="4701"/>
      <c r="E5" s="4702"/>
      <c r="F5" s="4702"/>
      <c r="G5" s="4702"/>
      <c r="H5" s="4702"/>
      <c r="I5" s="4702"/>
      <c r="J5" s="4033"/>
      <c r="K5" s="4034"/>
    </row>
    <row r="6" spans="1:11" ht="9" customHeight="1" thickBot="1">
      <c r="E6" s="1264"/>
    </row>
    <row r="7" spans="1:11">
      <c r="A7" s="4019" t="s">
        <v>3844</v>
      </c>
      <c r="B7" s="4020"/>
      <c r="C7" s="4020"/>
      <c r="D7" s="4020"/>
      <c r="E7" s="4020"/>
      <c r="F7" s="4020"/>
      <c r="G7" s="4020"/>
      <c r="H7" s="4020"/>
      <c r="I7" s="4020"/>
      <c r="J7" s="4020"/>
      <c r="K7" s="4021"/>
    </row>
    <row r="8" spans="1:11" ht="14.25" customHeight="1">
      <c r="A8" s="1270"/>
      <c r="B8" s="1270"/>
      <c r="C8" s="1302">
        <v>1</v>
      </c>
      <c r="D8" s="1289" t="s">
        <v>3845</v>
      </c>
      <c r="E8" s="1289"/>
      <c r="F8" s="1289"/>
      <c r="G8" s="1289"/>
      <c r="H8" s="1289"/>
      <c r="I8" s="1289"/>
      <c r="J8" s="4726"/>
      <c r="K8" s="4727"/>
    </row>
    <row r="9" spans="1:11" ht="7.15" customHeight="1">
      <c r="A9" s="4041"/>
      <c r="B9" s="4041"/>
      <c r="C9" s="4041"/>
      <c r="D9" s="4042"/>
      <c r="E9" s="4042"/>
      <c r="F9" s="4042"/>
      <c r="G9" s="4042"/>
      <c r="H9" s="4042"/>
      <c r="I9" s="4042"/>
      <c r="J9" s="4042"/>
      <c r="K9" s="1290"/>
    </row>
    <row r="10" spans="1:11">
      <c r="A10" s="4043" t="s">
        <v>3846</v>
      </c>
      <c r="B10" s="4044"/>
      <c r="C10" s="4044"/>
      <c r="D10" s="4044"/>
      <c r="E10" s="4044"/>
      <c r="F10" s="4044"/>
      <c r="G10" s="4044"/>
      <c r="H10" s="4044"/>
      <c r="I10" s="4044"/>
      <c r="J10" s="4044"/>
      <c r="K10" s="4045"/>
    </row>
    <row r="11" spans="1:11" ht="14.25" customHeight="1">
      <c r="A11" s="1270"/>
      <c r="B11" s="1270"/>
      <c r="C11" s="1302">
        <v>2</v>
      </c>
      <c r="D11" s="1289" t="s">
        <v>3847</v>
      </c>
      <c r="E11" s="1291"/>
      <c r="F11" s="1291"/>
      <c r="G11" s="1291"/>
      <c r="H11" s="1291"/>
      <c r="I11" s="1291"/>
      <c r="J11" s="4724"/>
      <c r="K11" s="4725"/>
    </row>
    <row r="12" spans="1:11" ht="7.15" customHeight="1">
      <c r="A12" s="4041"/>
      <c r="B12" s="4041"/>
      <c r="C12" s="4041"/>
      <c r="D12" s="4042"/>
      <c r="E12" s="4042"/>
      <c r="F12" s="4042"/>
      <c r="G12" s="4042"/>
      <c r="H12" s="4042"/>
      <c r="I12" s="4042"/>
      <c r="J12" s="4042"/>
      <c r="K12" s="1292"/>
    </row>
    <row r="13" spans="1:11">
      <c r="A13" s="4043" t="s">
        <v>3848</v>
      </c>
      <c r="B13" s="4044"/>
      <c r="C13" s="4044"/>
      <c r="D13" s="4044"/>
      <c r="E13" s="4044"/>
      <c r="F13" s="4044"/>
      <c r="G13" s="4044"/>
      <c r="H13" s="4044"/>
      <c r="I13" s="4044"/>
      <c r="J13" s="4044"/>
      <c r="K13" s="4045"/>
    </row>
    <row r="14" spans="1:11" ht="14.25" customHeight="1">
      <c r="A14" s="1270"/>
      <c r="B14" s="1270"/>
      <c r="C14" s="1303">
        <v>3</v>
      </c>
      <c r="D14" s="1293" t="s">
        <v>3849</v>
      </c>
      <c r="E14" s="1293"/>
      <c r="F14" s="1293"/>
      <c r="G14" s="1293"/>
      <c r="H14" s="1293"/>
      <c r="I14" s="1293"/>
      <c r="J14" s="4722"/>
      <c r="K14" s="4723"/>
    </row>
    <row r="15" spans="1:11" ht="14.25" customHeight="1">
      <c r="A15" s="1270"/>
      <c r="B15" s="1270"/>
      <c r="C15" s="1304">
        <v>4</v>
      </c>
      <c r="D15" s="1270" t="s">
        <v>3850</v>
      </c>
      <c r="E15" s="1270"/>
      <c r="F15" s="1270"/>
      <c r="G15" s="1270"/>
      <c r="H15" s="1270"/>
      <c r="I15" s="1270"/>
      <c r="J15" s="4720"/>
      <c r="K15" s="4721"/>
    </row>
    <row r="16" spans="1:11" ht="14.25" customHeight="1">
      <c r="A16" s="1270"/>
      <c r="B16" s="1270"/>
      <c r="C16" s="1304">
        <v>5</v>
      </c>
      <c r="D16" s="1270" t="s">
        <v>3851</v>
      </c>
      <c r="E16" s="1270"/>
      <c r="F16" s="1270"/>
      <c r="G16" s="1270"/>
      <c r="H16" s="1270"/>
      <c r="I16" s="1270"/>
      <c r="J16" s="4720"/>
      <c r="K16" s="4721"/>
    </row>
    <row r="17" spans="1:13" ht="14.25" customHeight="1">
      <c r="A17" s="1270"/>
      <c r="B17" s="1270"/>
      <c r="C17" s="1305">
        <v>6</v>
      </c>
      <c r="D17" s="1273" t="s">
        <v>3852</v>
      </c>
      <c r="E17" s="1273"/>
      <c r="F17" s="1273"/>
      <c r="G17" s="1273"/>
      <c r="H17" s="1273"/>
      <c r="I17" s="1273"/>
      <c r="J17" s="4728"/>
      <c r="K17" s="4729"/>
    </row>
    <row r="18" spans="1:13" ht="7.15" customHeight="1">
      <c r="A18" s="4041"/>
      <c r="B18" s="4041"/>
      <c r="C18" s="4041"/>
      <c r="D18" s="4042"/>
      <c r="E18" s="4042"/>
      <c r="F18" s="4042"/>
      <c r="G18" s="4042"/>
      <c r="H18" s="4042"/>
      <c r="I18" s="4042"/>
      <c r="J18" s="4042"/>
      <c r="K18" s="1292"/>
    </row>
    <row r="19" spans="1:13" ht="14.25" customHeight="1">
      <c r="A19" s="1270"/>
      <c r="B19" s="1270"/>
      <c r="C19" s="1303">
        <v>7</v>
      </c>
      <c r="D19" s="1293" t="s">
        <v>3853</v>
      </c>
      <c r="E19" s="1293"/>
      <c r="F19" s="1293"/>
      <c r="G19" s="1293"/>
      <c r="H19" s="1293"/>
      <c r="I19" s="1293"/>
      <c r="J19" s="4037" t="str">
        <f>IF(J17="No",J14-J15,IF(J17="Yes",J14-J15-J16,"Error"))</f>
        <v>Error</v>
      </c>
      <c r="K19" s="4038"/>
    </row>
    <row r="20" spans="1:13" ht="14.25" customHeight="1">
      <c r="A20" s="1270"/>
      <c r="B20" s="1270"/>
      <c r="C20" s="1305">
        <v>8</v>
      </c>
      <c r="D20" s="1273" t="s">
        <v>3854</v>
      </c>
      <c r="E20" s="1273"/>
      <c r="F20" s="1273"/>
      <c r="G20" s="1273"/>
      <c r="H20" s="1273"/>
      <c r="I20" s="1273"/>
      <c r="J20" s="4054" t="e">
        <f>ROUNDDOWN(J19/J8,2)</f>
        <v>#VALUE!</v>
      </c>
      <c r="K20" s="4055"/>
    </row>
    <row r="21" spans="1:13" ht="7.15" customHeight="1">
      <c r="A21" s="4041"/>
      <c r="B21" s="4041"/>
      <c r="C21" s="4041"/>
      <c r="D21" s="4042"/>
      <c r="E21" s="4042"/>
      <c r="F21" s="4042"/>
      <c r="G21" s="4042"/>
      <c r="H21" s="4042"/>
      <c r="I21" s="4042"/>
      <c r="J21" s="4042"/>
      <c r="K21" s="1292"/>
    </row>
    <row r="22" spans="1:13" ht="14.25" customHeight="1" thickBot="1">
      <c r="A22" s="1270"/>
      <c r="B22" s="1270"/>
      <c r="C22" s="1302">
        <v>9</v>
      </c>
      <c r="D22" s="1294" t="s">
        <v>3855</v>
      </c>
      <c r="E22" s="1294"/>
      <c r="F22" s="1294"/>
      <c r="G22" s="1294"/>
      <c r="H22" s="1294"/>
      <c r="I22" s="1294"/>
      <c r="J22" s="4056" t="e">
        <f>J11/J19</f>
        <v>#VALUE!</v>
      </c>
      <c r="K22" s="4057"/>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8" t="s">
        <v>3886</v>
      </c>
      <c r="B30" s="4059"/>
      <c r="C30" s="4059"/>
      <c r="D30" s="4059"/>
      <c r="E30" s="4059"/>
      <c r="F30" s="4059"/>
      <c r="G30" s="4059"/>
      <c r="H30" s="4059"/>
      <c r="I30" s="4059"/>
      <c r="J30" s="4059"/>
      <c r="K30" s="4060"/>
    </row>
    <row r="31" spans="1:13">
      <c r="B31" s="4715" t="s">
        <v>3843</v>
      </c>
      <c r="C31" s="4715"/>
      <c r="D31" s="4715"/>
      <c r="E31" s="4715"/>
      <c r="F31" s="4715"/>
      <c r="G31" s="4062" t="s">
        <v>3857</v>
      </c>
      <c r="H31" s="4063"/>
      <c r="I31" s="4063"/>
      <c r="J31" s="4063"/>
      <c r="K31" s="4064"/>
    </row>
    <row r="32" spans="1:13" ht="56.25" customHeight="1">
      <c r="A32" s="1288"/>
      <c r="B32" s="1306" t="s">
        <v>3885</v>
      </c>
      <c r="C32" s="1307" t="s">
        <v>3881</v>
      </c>
      <c r="D32" s="1307" t="s">
        <v>3880</v>
      </c>
      <c r="E32" s="4065" t="s">
        <v>4001</v>
      </c>
      <c r="F32" s="4066"/>
      <c r="G32" s="1308" t="s">
        <v>3858</v>
      </c>
      <c r="H32" s="1308" t="s">
        <v>3859</v>
      </c>
      <c r="J32" s="1308" t="s">
        <v>3860</v>
      </c>
      <c r="K32" s="1308" t="s">
        <v>3861</v>
      </c>
      <c r="L32" s="4067" t="s">
        <v>3862</v>
      </c>
      <c r="M32" s="4067"/>
    </row>
    <row r="33" spans="2:14" ht="12.75" customHeight="1">
      <c r="B33" s="1409"/>
      <c r="C33" s="1410"/>
      <c r="D33" s="1411"/>
      <c r="E33" s="4707"/>
      <c r="F33" s="4708"/>
      <c r="G33" s="1324" t="e">
        <f t="shared" ref="G33:G51" si="0">$J$22*B33</f>
        <v>#VALUE!</v>
      </c>
      <c r="H33" s="1325" t="e">
        <f>ROUNDUP(G33,0)</f>
        <v>#VALUE!</v>
      </c>
      <c r="I33" s="1326"/>
      <c r="J33" s="1327" t="e">
        <f t="shared" ref="J33:J51" si="1">$J$20*E33</f>
        <v>#VALUE!</v>
      </c>
      <c r="K33" s="1327" t="e">
        <f t="shared" ref="K33:K51" si="2">ROUNDDOWN(J33*H33,0)</f>
        <v>#VALUE!</v>
      </c>
      <c r="L33" s="4067"/>
      <c r="M33" s="4067"/>
    </row>
    <row r="34" spans="2:14" ht="12.75" customHeight="1">
      <c r="B34" s="1412"/>
      <c r="C34" s="1413"/>
      <c r="D34" s="1414"/>
      <c r="E34" s="4709"/>
      <c r="F34" s="4710"/>
      <c r="G34" s="1328" t="e">
        <f t="shared" si="0"/>
        <v>#VALUE!</v>
      </c>
      <c r="H34" s="1329" t="e">
        <f t="shared" ref="H34:H51" si="3">ROUNDUP(G34,0)</f>
        <v>#VALUE!</v>
      </c>
      <c r="I34" s="1326"/>
      <c r="J34" s="1330" t="e">
        <f t="shared" si="1"/>
        <v>#VALUE!</v>
      </c>
      <c r="K34" s="1330" t="e">
        <f t="shared" si="2"/>
        <v>#VALUE!</v>
      </c>
      <c r="L34" s="4067"/>
      <c r="M34" s="4067"/>
    </row>
    <row r="35" spans="2:14" ht="12.75" customHeight="1">
      <c r="B35" s="1412"/>
      <c r="C35" s="1413"/>
      <c r="D35" s="1414"/>
      <c r="E35" s="4709"/>
      <c r="F35" s="4710"/>
      <c r="G35" s="1328" t="e">
        <f t="shared" si="0"/>
        <v>#VALUE!</v>
      </c>
      <c r="H35" s="1329" t="e">
        <f t="shared" si="3"/>
        <v>#VALUE!</v>
      </c>
      <c r="I35" s="1326"/>
      <c r="J35" s="1330" t="e">
        <f t="shared" si="1"/>
        <v>#VALUE!</v>
      </c>
      <c r="K35" s="1330" t="e">
        <f t="shared" si="2"/>
        <v>#VALUE!</v>
      </c>
      <c r="L35" s="4067"/>
      <c r="M35" s="4067"/>
    </row>
    <row r="36" spans="2:14" ht="12.75" customHeight="1">
      <c r="B36" s="1412"/>
      <c r="C36" s="1413"/>
      <c r="D36" s="1414"/>
      <c r="E36" s="4709"/>
      <c r="F36" s="4710"/>
      <c r="G36" s="1328" t="e">
        <f t="shared" si="0"/>
        <v>#VALUE!</v>
      </c>
      <c r="H36" s="1329" t="e">
        <f t="shared" si="3"/>
        <v>#VALUE!</v>
      </c>
      <c r="I36" s="1326"/>
      <c r="J36" s="1330" t="e">
        <f t="shared" si="1"/>
        <v>#VALUE!</v>
      </c>
      <c r="K36" s="1330" t="e">
        <f t="shared" si="2"/>
        <v>#VALUE!</v>
      </c>
      <c r="L36" s="4067"/>
      <c r="M36" s="4067"/>
      <c r="N36" s="1283"/>
    </row>
    <row r="37" spans="2:14" ht="12.75" customHeight="1">
      <c r="B37" s="1412"/>
      <c r="C37" s="1413"/>
      <c r="D37" s="1414"/>
      <c r="E37" s="4709"/>
      <c r="F37" s="4710"/>
      <c r="G37" s="1328" t="e">
        <f t="shared" si="0"/>
        <v>#VALUE!</v>
      </c>
      <c r="H37" s="1329" t="e">
        <f t="shared" si="3"/>
        <v>#VALUE!</v>
      </c>
      <c r="I37" s="1326"/>
      <c r="J37" s="1330" t="e">
        <f t="shared" si="1"/>
        <v>#VALUE!</v>
      </c>
      <c r="K37" s="1330" t="e">
        <f t="shared" si="2"/>
        <v>#VALUE!</v>
      </c>
      <c r="L37" s="4067"/>
      <c r="M37" s="4067"/>
    </row>
    <row r="38" spans="2:14" ht="12.75" customHeight="1">
      <c r="B38" s="1412"/>
      <c r="C38" s="1413"/>
      <c r="D38" s="1414"/>
      <c r="E38" s="4709"/>
      <c r="F38" s="4710"/>
      <c r="G38" s="1328" t="e">
        <f t="shared" si="0"/>
        <v>#VALUE!</v>
      </c>
      <c r="H38" s="1329" t="e">
        <f t="shared" si="3"/>
        <v>#VALUE!</v>
      </c>
      <c r="I38" s="1326"/>
      <c r="J38" s="1330" t="e">
        <f t="shared" si="1"/>
        <v>#VALUE!</v>
      </c>
      <c r="K38" s="1330" t="e">
        <f t="shared" si="2"/>
        <v>#VALUE!</v>
      </c>
      <c r="L38" s="4067"/>
      <c r="M38" s="4067"/>
    </row>
    <row r="39" spans="2:14" ht="12.75" customHeight="1">
      <c r="B39" s="1412"/>
      <c r="C39" s="1413"/>
      <c r="D39" s="1414"/>
      <c r="E39" s="4709"/>
      <c r="F39" s="4710"/>
      <c r="G39" s="1328" t="e">
        <f t="shared" si="0"/>
        <v>#VALUE!</v>
      </c>
      <c r="H39" s="1329" t="e">
        <f t="shared" si="3"/>
        <v>#VALUE!</v>
      </c>
      <c r="I39" s="1326"/>
      <c r="J39" s="1330" t="e">
        <f t="shared" si="1"/>
        <v>#VALUE!</v>
      </c>
      <c r="K39" s="1330" t="e">
        <f t="shared" si="2"/>
        <v>#VALUE!</v>
      </c>
      <c r="L39" s="4067"/>
      <c r="M39" s="4067"/>
    </row>
    <row r="40" spans="2:14" ht="12.75" customHeight="1">
      <c r="B40" s="1412"/>
      <c r="C40" s="1413"/>
      <c r="D40" s="1414"/>
      <c r="E40" s="4709"/>
      <c r="F40" s="4710"/>
      <c r="G40" s="1328" t="e">
        <f t="shared" si="0"/>
        <v>#VALUE!</v>
      </c>
      <c r="H40" s="1329" t="e">
        <f t="shared" si="3"/>
        <v>#VALUE!</v>
      </c>
      <c r="I40" s="1326"/>
      <c r="J40" s="1330" t="e">
        <f t="shared" si="1"/>
        <v>#VALUE!</v>
      </c>
      <c r="K40" s="1330" t="e">
        <f t="shared" si="2"/>
        <v>#VALUE!</v>
      </c>
      <c r="L40" s="4067"/>
      <c r="M40" s="4067"/>
    </row>
    <row r="41" spans="2:14" ht="12.75" customHeight="1">
      <c r="B41" s="1412"/>
      <c r="C41" s="1413"/>
      <c r="D41" s="1414"/>
      <c r="E41" s="4709"/>
      <c r="F41" s="4710"/>
      <c r="G41" s="1328" t="e">
        <f t="shared" si="0"/>
        <v>#VALUE!</v>
      </c>
      <c r="H41" s="1329" t="e">
        <f t="shared" si="3"/>
        <v>#VALUE!</v>
      </c>
      <c r="I41" s="1326"/>
      <c r="J41" s="1330" t="e">
        <f t="shared" si="1"/>
        <v>#VALUE!</v>
      </c>
      <c r="K41" s="1330" t="e">
        <f t="shared" si="2"/>
        <v>#VALUE!</v>
      </c>
      <c r="L41" s="4067"/>
      <c r="M41" s="4067"/>
    </row>
    <row r="42" spans="2:14" ht="12.75" customHeight="1">
      <c r="B42" s="1412"/>
      <c r="C42" s="1413"/>
      <c r="D42" s="1414"/>
      <c r="E42" s="4709"/>
      <c r="F42" s="4710"/>
      <c r="G42" s="1328" t="e">
        <f t="shared" si="0"/>
        <v>#VALUE!</v>
      </c>
      <c r="H42" s="1329" t="e">
        <f>ROUNDUP(G42,0)</f>
        <v>#VALUE!</v>
      </c>
      <c r="I42" s="1326"/>
      <c r="J42" s="1330" t="e">
        <f t="shared" si="1"/>
        <v>#VALUE!</v>
      </c>
      <c r="K42" s="1330" t="e">
        <f t="shared" si="2"/>
        <v>#VALUE!</v>
      </c>
      <c r="L42" s="4067"/>
      <c r="M42" s="4067"/>
    </row>
    <row r="43" spans="2:14" ht="12.75" customHeight="1">
      <c r="B43" s="1412"/>
      <c r="C43" s="1413"/>
      <c r="D43" s="1414"/>
      <c r="E43" s="4709"/>
      <c r="F43" s="4710"/>
      <c r="G43" s="1328" t="e">
        <f t="shared" si="0"/>
        <v>#VALUE!</v>
      </c>
      <c r="H43" s="1329" t="e">
        <f>ROUNDUP(G43,0)</f>
        <v>#VALUE!</v>
      </c>
      <c r="I43" s="1326"/>
      <c r="J43" s="1330" t="e">
        <f t="shared" si="1"/>
        <v>#VALUE!</v>
      </c>
      <c r="K43" s="1330" t="e">
        <f t="shared" si="2"/>
        <v>#VALUE!</v>
      </c>
      <c r="L43" s="4067"/>
      <c r="M43" s="4067"/>
    </row>
    <row r="44" spans="2:14" ht="12.75" customHeight="1">
      <c r="B44" s="1412"/>
      <c r="C44" s="1413"/>
      <c r="D44" s="1414"/>
      <c r="E44" s="4709"/>
      <c r="F44" s="4710"/>
      <c r="G44" s="1328" t="e">
        <f t="shared" si="0"/>
        <v>#VALUE!</v>
      </c>
      <c r="H44" s="1329" t="e">
        <f>ROUNDUP(G44,0)</f>
        <v>#VALUE!</v>
      </c>
      <c r="I44" s="1326"/>
      <c r="J44" s="1330" t="e">
        <f t="shared" si="1"/>
        <v>#VALUE!</v>
      </c>
      <c r="K44" s="1330" t="e">
        <f t="shared" si="2"/>
        <v>#VALUE!</v>
      </c>
      <c r="L44" s="4067"/>
      <c r="M44" s="4067"/>
    </row>
    <row r="45" spans="2:14" ht="12.75" customHeight="1">
      <c r="B45" s="1412"/>
      <c r="C45" s="1413"/>
      <c r="D45" s="1414"/>
      <c r="E45" s="4709"/>
      <c r="F45" s="4710"/>
      <c r="G45" s="1328" t="e">
        <f t="shared" si="0"/>
        <v>#VALUE!</v>
      </c>
      <c r="H45" s="1329" t="e">
        <f>ROUNDUP(G45,0)</f>
        <v>#VALUE!</v>
      </c>
      <c r="I45" s="1326"/>
      <c r="J45" s="1330" t="e">
        <f t="shared" si="1"/>
        <v>#VALUE!</v>
      </c>
      <c r="K45" s="1330" t="e">
        <f t="shared" si="2"/>
        <v>#VALUE!</v>
      </c>
      <c r="L45" s="4067"/>
      <c r="M45" s="4067"/>
    </row>
    <row r="46" spans="2:14" ht="12.75" customHeight="1">
      <c r="B46" s="1412"/>
      <c r="C46" s="1413"/>
      <c r="D46" s="1414"/>
      <c r="E46" s="4709"/>
      <c r="F46" s="4710"/>
      <c r="G46" s="1328" t="e">
        <f t="shared" si="0"/>
        <v>#VALUE!</v>
      </c>
      <c r="H46" s="1329" t="e">
        <f t="shared" si="3"/>
        <v>#VALUE!</v>
      </c>
      <c r="I46" s="1326"/>
      <c r="J46" s="1330" t="e">
        <f t="shared" si="1"/>
        <v>#VALUE!</v>
      </c>
      <c r="K46" s="1330" t="e">
        <f t="shared" si="2"/>
        <v>#VALUE!</v>
      </c>
      <c r="L46" s="4067"/>
      <c r="M46" s="4067"/>
    </row>
    <row r="47" spans="2:14" ht="12.75" customHeight="1">
      <c r="B47" s="1412"/>
      <c r="C47" s="1413"/>
      <c r="D47" s="1414"/>
      <c r="E47" s="4709"/>
      <c r="F47" s="4710"/>
      <c r="G47" s="1328" t="e">
        <f t="shared" si="0"/>
        <v>#VALUE!</v>
      </c>
      <c r="H47" s="1329" t="e">
        <f t="shared" si="3"/>
        <v>#VALUE!</v>
      </c>
      <c r="I47" s="1326"/>
      <c r="J47" s="1330" t="e">
        <f t="shared" si="1"/>
        <v>#VALUE!</v>
      </c>
      <c r="K47" s="1330" t="e">
        <f t="shared" si="2"/>
        <v>#VALUE!</v>
      </c>
      <c r="L47" s="4067"/>
      <c r="M47" s="4067"/>
    </row>
    <row r="48" spans="2:14" ht="12.75" customHeight="1">
      <c r="B48" s="1412"/>
      <c r="C48" s="1413"/>
      <c r="D48" s="1414"/>
      <c r="E48" s="4709"/>
      <c r="F48" s="4710"/>
      <c r="G48" s="1328" t="e">
        <f t="shared" si="0"/>
        <v>#VALUE!</v>
      </c>
      <c r="H48" s="1329" t="e">
        <f>ROUNDUP(G48,0)</f>
        <v>#VALUE!</v>
      </c>
      <c r="I48" s="1326"/>
      <c r="J48" s="1330" t="e">
        <f t="shared" si="1"/>
        <v>#VALUE!</v>
      </c>
      <c r="K48" s="1330" t="e">
        <f t="shared" si="2"/>
        <v>#VALUE!</v>
      </c>
      <c r="L48" s="4067"/>
      <c r="M48" s="4067"/>
    </row>
    <row r="49" spans="1:13" ht="12.75" customHeight="1">
      <c r="B49" s="1412"/>
      <c r="C49" s="1413"/>
      <c r="D49" s="1414"/>
      <c r="E49" s="4709"/>
      <c r="F49" s="4710"/>
      <c r="G49" s="1328" t="e">
        <f t="shared" si="0"/>
        <v>#VALUE!</v>
      </c>
      <c r="H49" s="1329" t="e">
        <f t="shared" si="3"/>
        <v>#VALUE!</v>
      </c>
      <c r="I49" s="1326"/>
      <c r="J49" s="1330" t="e">
        <f t="shared" si="1"/>
        <v>#VALUE!</v>
      </c>
      <c r="K49" s="1330" t="e">
        <f t="shared" si="2"/>
        <v>#VALUE!</v>
      </c>
      <c r="L49" s="4067"/>
      <c r="M49" s="4067"/>
    </row>
    <row r="50" spans="1:13" ht="12.75" customHeight="1">
      <c r="B50" s="1412"/>
      <c r="C50" s="1413"/>
      <c r="D50" s="1414"/>
      <c r="E50" s="4709"/>
      <c r="F50" s="4710"/>
      <c r="G50" s="1328" t="e">
        <f t="shared" si="0"/>
        <v>#VALUE!</v>
      </c>
      <c r="H50" s="1329" t="e">
        <f t="shared" si="3"/>
        <v>#VALUE!</v>
      </c>
      <c r="I50" s="1326"/>
      <c r="J50" s="1330" t="e">
        <f t="shared" si="1"/>
        <v>#VALUE!</v>
      </c>
      <c r="K50" s="1330" t="e">
        <f t="shared" si="2"/>
        <v>#VALUE!</v>
      </c>
      <c r="L50" s="4067"/>
      <c r="M50" s="4067"/>
    </row>
    <row r="51" spans="1:13" ht="12.75" customHeight="1" thickBot="1">
      <c r="B51" s="1415"/>
      <c r="C51" s="1416"/>
      <c r="D51" s="1417"/>
      <c r="E51" s="4718"/>
      <c r="F51" s="4719"/>
      <c r="G51" s="1331" t="e">
        <f t="shared" si="0"/>
        <v>#VALUE!</v>
      </c>
      <c r="H51" s="1332" t="e">
        <f t="shared" si="3"/>
        <v>#VALUE!</v>
      </c>
      <c r="I51" s="1326"/>
      <c r="J51" s="1333" t="e">
        <f t="shared" si="1"/>
        <v>#VALUE!</v>
      </c>
      <c r="K51" s="1333" t="e">
        <f t="shared" si="2"/>
        <v>#VALUE!</v>
      </c>
      <c r="L51" s="4067"/>
      <c r="M51" s="4067"/>
    </row>
    <row r="52" spans="1:13" ht="15" customHeight="1" thickBot="1">
      <c r="B52" s="1299"/>
      <c r="D52" s="1293"/>
      <c r="E52" s="1293"/>
      <c r="F52" s="1293"/>
      <c r="G52" s="1310" t="s">
        <v>3863</v>
      </c>
      <c r="H52" s="1309" t="e">
        <f>SUM(H33:H51)</f>
        <v>#VALUE!</v>
      </c>
      <c r="I52" s="1293"/>
      <c r="J52" s="1299" t="s">
        <v>3864</v>
      </c>
      <c r="K52" s="1295" t="e">
        <f>SUM(K33:K51)</f>
        <v>#VALUE!</v>
      </c>
      <c r="L52" s="4067"/>
      <c r="M52" s="4067"/>
    </row>
    <row r="53" spans="1:13" ht="15" customHeight="1">
      <c r="B53" s="1300"/>
      <c r="C53" s="4072" t="s">
        <v>3865</v>
      </c>
      <c r="D53" s="4072"/>
      <c r="E53" s="4072"/>
      <c r="F53" s="4072"/>
      <c r="G53" s="4072"/>
      <c r="H53" s="4072"/>
      <c r="I53" s="4072"/>
      <c r="J53" s="4073"/>
      <c r="K53" s="1301" t="str">
        <f>IF(J17="no",0,IF(J17="yes",J16,"Error"))</f>
        <v>Error</v>
      </c>
      <c r="L53" s="4067"/>
      <c r="M53" s="4067"/>
    </row>
    <row r="54" spans="1:13" ht="15" customHeight="1" thickBot="1">
      <c r="B54" s="1300"/>
      <c r="C54" s="4076" t="s">
        <v>3866</v>
      </c>
      <c r="D54" s="4076"/>
      <c r="E54" s="4076"/>
      <c r="F54" s="4076"/>
      <c r="G54" s="4076"/>
      <c r="H54" s="4076"/>
      <c r="I54" s="4076"/>
      <c r="J54" s="4077"/>
      <c r="K54" s="1312" t="e">
        <f>K52+K53</f>
        <v>#VALUE!</v>
      </c>
    </row>
    <row r="55" spans="1:13" ht="7.9" customHeight="1">
      <c r="A55" s="4078"/>
      <c r="B55" s="4079"/>
      <c r="C55" s="4079"/>
      <c r="D55" s="4079"/>
      <c r="E55" s="4079"/>
      <c r="F55" s="4079"/>
      <c r="G55" s="4079"/>
      <c r="H55" s="4079"/>
      <c r="I55" s="4079"/>
      <c r="J55" s="4079"/>
      <c r="K55" s="1323"/>
    </row>
    <row r="56" spans="1:13" ht="15" customHeight="1">
      <c r="A56" s="4080" t="s">
        <v>3867</v>
      </c>
      <c r="B56" s="4081"/>
      <c r="C56" s="4081"/>
      <c r="D56" s="4081"/>
      <c r="E56" s="4081"/>
      <c r="F56" s="4081"/>
      <c r="G56" s="4081"/>
      <c r="H56" s="4081"/>
      <c r="I56" s="4081"/>
      <c r="J56" s="4081"/>
      <c r="K56" s="4082"/>
    </row>
    <row r="57" spans="1:13" ht="48" customHeight="1">
      <c r="A57" s="1285"/>
      <c r="B57" s="1276"/>
      <c r="C57" s="1287" t="s">
        <v>3868</v>
      </c>
      <c r="D57" s="1398" t="s">
        <v>3966</v>
      </c>
      <c r="E57" s="4083" t="s">
        <v>3884</v>
      </c>
      <c r="F57" s="4084"/>
      <c r="G57" s="4711" t="s">
        <v>3869</v>
      </c>
      <c r="H57" s="4712"/>
      <c r="I57" s="4083" t="s">
        <v>3883</v>
      </c>
      <c r="J57" s="4084"/>
      <c r="K57" s="4087"/>
    </row>
    <row r="58" spans="1:13" ht="15" customHeight="1">
      <c r="A58" s="1388"/>
      <c r="B58" s="1318"/>
      <c r="C58" s="1296">
        <f>SUMIF(C33:C51, "0", H33:H51)</f>
        <v>0</v>
      </c>
      <c r="D58" s="1399">
        <f t="shared" ref="D58:D63" si="4">ROUNDUP(C58*1.1,0)</f>
        <v>0</v>
      </c>
      <c r="E58" s="4089" t="s">
        <v>3870</v>
      </c>
      <c r="F58" s="4090"/>
      <c r="G58" s="4713" t="e">
        <f>#REF!</f>
        <v>#REF!</v>
      </c>
      <c r="H58" s="4714"/>
      <c r="I58" s="4093" t="e">
        <f t="shared" ref="I58:I63" si="5">D58*G58</f>
        <v>#REF!</v>
      </c>
      <c r="J58" s="4093"/>
      <c r="K58" s="4088"/>
    </row>
    <row r="59" spans="1:13">
      <c r="A59" s="1388"/>
      <c r="B59" s="1318"/>
      <c r="C59" s="1297">
        <f>SUMIF(C33:C51, "1", H33:H51)</f>
        <v>0</v>
      </c>
      <c r="D59" s="1400">
        <f t="shared" si="4"/>
        <v>0</v>
      </c>
      <c r="E59" s="4094" t="s">
        <v>2455</v>
      </c>
      <c r="F59" s="4095"/>
      <c r="G59" s="4705" t="e">
        <f>#REF!</f>
        <v>#REF!</v>
      </c>
      <c r="H59" s="4706"/>
      <c r="I59" s="4096" t="e">
        <f t="shared" si="5"/>
        <v>#REF!</v>
      </c>
      <c r="J59" s="4096"/>
      <c r="K59" s="4088"/>
    </row>
    <row r="60" spans="1:13" ht="15" customHeight="1">
      <c r="A60" s="1388"/>
      <c r="B60" s="1318"/>
      <c r="C60" s="1297">
        <f>SUMIF(C33:C51, "2", H33:H51)</f>
        <v>0</v>
      </c>
      <c r="D60" s="1400">
        <f t="shared" si="4"/>
        <v>0</v>
      </c>
      <c r="E60" s="4094" t="s">
        <v>2456</v>
      </c>
      <c r="F60" s="4095"/>
      <c r="G60" s="4705" t="e">
        <f>#REF!</f>
        <v>#REF!</v>
      </c>
      <c r="H60" s="4706"/>
      <c r="I60" s="4096" t="e">
        <f t="shared" si="5"/>
        <v>#REF!</v>
      </c>
      <c r="J60" s="4096"/>
      <c r="K60" s="4088"/>
    </row>
    <row r="61" spans="1:13">
      <c r="A61" s="1388"/>
      <c r="B61" s="1318"/>
      <c r="C61" s="1297">
        <f>SUMIF(C33:C51, "3", H33:H51)</f>
        <v>0</v>
      </c>
      <c r="D61" s="1400">
        <f t="shared" si="4"/>
        <v>0</v>
      </c>
      <c r="E61" s="4094" t="s">
        <v>2459</v>
      </c>
      <c r="F61" s="4095"/>
      <c r="G61" s="4705" t="e">
        <f>#REF!</f>
        <v>#REF!</v>
      </c>
      <c r="H61" s="4706"/>
      <c r="I61" s="4096" t="e">
        <f t="shared" si="5"/>
        <v>#REF!</v>
      </c>
      <c r="J61" s="4096"/>
      <c r="K61" s="4088"/>
    </row>
    <row r="62" spans="1:13">
      <c r="A62" s="1388"/>
      <c r="B62" s="1318"/>
      <c r="C62" s="1297">
        <f>SUMIF(C33:C51, "4", H33:H51)</f>
        <v>0</v>
      </c>
      <c r="D62" s="1400">
        <f t="shared" si="4"/>
        <v>0</v>
      </c>
      <c r="E62" s="4094" t="s">
        <v>3871</v>
      </c>
      <c r="F62" s="4095"/>
      <c r="G62" s="4705" t="e">
        <f>#REF!</f>
        <v>#REF!</v>
      </c>
      <c r="H62" s="4706"/>
      <c r="I62" s="4096" t="e">
        <f t="shared" si="5"/>
        <v>#REF!</v>
      </c>
      <c r="J62" s="4096"/>
      <c r="K62" s="4088"/>
    </row>
    <row r="63" spans="1:13">
      <c r="A63" s="1397"/>
      <c r="B63" s="1319"/>
      <c r="C63" s="1298">
        <f>SUMIF(C33:C51, "5", H33:H51)</f>
        <v>0</v>
      </c>
      <c r="D63" s="1401">
        <f t="shared" si="4"/>
        <v>0</v>
      </c>
      <c r="E63" s="4098" t="s">
        <v>3872</v>
      </c>
      <c r="F63" s="4099"/>
      <c r="G63" s="4716" t="e">
        <f>#REF!</f>
        <v>#REF!</v>
      </c>
      <c r="H63" s="4717"/>
      <c r="I63" s="4100" t="e">
        <f t="shared" si="5"/>
        <v>#REF!</v>
      </c>
      <c r="J63" s="4100"/>
      <c r="K63" s="1321"/>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9"/>
      <c r="B65" s="4079"/>
      <c r="C65" s="4079"/>
      <c r="D65" s="4079"/>
      <c r="E65" s="4079"/>
      <c r="F65" s="4079"/>
      <c r="G65" s="4079"/>
      <c r="H65" s="4079"/>
      <c r="I65" s="4079"/>
      <c r="J65" s="4079"/>
    </row>
    <row r="66" spans="1:11">
      <c r="A66" s="4080" t="s">
        <v>3875</v>
      </c>
      <c r="B66" s="4081"/>
      <c r="C66" s="4081"/>
      <c r="D66" s="4081"/>
      <c r="E66" s="4081"/>
      <c r="F66" s="4081"/>
      <c r="G66" s="4081"/>
      <c r="H66" s="4081"/>
      <c r="I66" s="4081"/>
      <c r="J66" s="4081"/>
      <c r="K66" s="4082"/>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7" t="s">
        <v>3879</v>
      </c>
      <c r="D70" s="4097"/>
      <c r="E70" s="4097"/>
      <c r="F70" s="4097"/>
      <c r="G70" s="4097"/>
      <c r="H70" s="4097"/>
      <c r="I70" s="4097"/>
      <c r="J70" s="409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Redland Trace</v>
      </c>
    </row>
    <row r="2" spans="1:11">
      <c r="A2" s="549" t="s">
        <v>2873</v>
      </c>
      <c r="H2" s="431" t="str">
        <f>'Sensitivity Analysis'!E8</f>
        <v>2024-0</v>
      </c>
    </row>
    <row r="3" spans="1:11" ht="3" customHeight="1"/>
    <row r="4" spans="1:11" ht="51.75" customHeight="1">
      <c r="A4" s="4730" t="s">
        <v>2911</v>
      </c>
      <c r="B4" s="4730"/>
      <c r="C4" s="4730"/>
      <c r="D4" s="4730"/>
      <c r="E4" s="4730"/>
      <c r="F4" s="4730"/>
      <c r="G4" s="4730"/>
      <c r="H4" s="4730"/>
      <c r="J4" s="991">
        <f>SUM('Part VI-Pro Forma'!B15:B17)/12</f>
        <v>96738.599999999991</v>
      </c>
      <c r="K4" s="990" t="s">
        <v>3545</v>
      </c>
    </row>
    <row r="5" spans="1:11" ht="1.5" customHeight="1"/>
    <row r="6" spans="1:11" ht="12.75" customHeight="1">
      <c r="B6" s="623" t="s">
        <v>2234</v>
      </c>
      <c r="C6" s="4730" t="s">
        <v>2874</v>
      </c>
      <c r="D6" s="4730"/>
      <c r="E6" s="4730"/>
      <c r="F6" s="4730"/>
      <c r="G6" s="4730"/>
      <c r="H6" s="4730"/>
    </row>
    <row r="7" spans="1:11" ht="12.75" customHeight="1">
      <c r="B7" s="623" t="s">
        <v>2235</v>
      </c>
      <c r="C7" s="4730" t="s">
        <v>2875</v>
      </c>
      <c r="D7" s="4730"/>
      <c r="E7" s="4730"/>
      <c r="F7" s="4730"/>
      <c r="G7" s="4730"/>
      <c r="H7" s="4730"/>
    </row>
    <row r="8" spans="1:11" ht="3" customHeight="1"/>
    <row r="9" spans="1:11">
      <c r="A9" s="431" t="s">
        <v>2876</v>
      </c>
    </row>
    <row r="10" spans="1:11" ht="1.5" customHeight="1"/>
    <row r="11" spans="1:11" ht="26.25" customHeight="1">
      <c r="A11" s="624" t="s">
        <v>1836</v>
      </c>
      <c r="B11" s="4732" t="s">
        <v>2908</v>
      </c>
      <c r="C11" s="4732"/>
      <c r="D11" s="4732"/>
      <c r="E11" s="4732"/>
      <c r="F11" s="4732"/>
      <c r="G11" s="4733">
        <f>'Part II-Sources of Funds'!I51+'Part II-Sources of Funds'!I52</f>
        <v>19978758</v>
      </c>
      <c r="H11" s="4733"/>
    </row>
    <row r="12" spans="1:11" ht="1.5" customHeight="1">
      <c r="G12" s="605"/>
      <c r="H12" s="605"/>
    </row>
    <row r="13" spans="1:11" ht="26.25" customHeight="1">
      <c r="A13" s="624" t="s">
        <v>1838</v>
      </c>
      <c r="B13" s="4732" t="s">
        <v>2909</v>
      </c>
      <c r="C13" s="4732"/>
      <c r="D13" s="4732"/>
      <c r="E13" s="4732"/>
      <c r="F13" s="4732"/>
      <c r="G13" s="4734" t="s">
        <v>2804</v>
      </c>
      <c r="H13" s="4734"/>
    </row>
    <row r="14" spans="1:11" ht="12" hidden="1" customHeight="1">
      <c r="A14" s="624"/>
      <c r="B14" s="4698"/>
      <c r="C14" s="4698"/>
      <c r="D14" s="4698"/>
      <c r="E14" s="4698"/>
      <c r="F14" s="4698"/>
      <c r="G14" s="4698"/>
      <c r="H14" s="4698"/>
    </row>
    <row r="15" spans="1:11" ht="1.5" customHeight="1"/>
    <row r="16" spans="1:11" ht="12" customHeight="1">
      <c r="A16" s="624" t="s">
        <v>697</v>
      </c>
      <c r="B16" s="431" t="s">
        <v>2912</v>
      </c>
      <c r="G16" s="4735" t="s">
        <v>2644</v>
      </c>
      <c r="H16" s="4735"/>
    </row>
    <row r="17" spans="1:8" ht="1.5" customHeight="1">
      <c r="G17" s="608"/>
    </row>
    <row r="18" spans="1:8" ht="12" customHeight="1">
      <c r="A18" s="624" t="s">
        <v>1957</v>
      </c>
      <c r="B18" s="605" t="s">
        <v>2910</v>
      </c>
      <c r="C18" s="624"/>
      <c r="D18" s="624"/>
      <c r="E18" s="624"/>
      <c r="G18" s="4698" t="s">
        <v>2507</v>
      </c>
      <c r="H18" s="4698"/>
    </row>
    <row r="19" spans="1:8" ht="12" hidden="1" customHeight="1">
      <c r="B19" s="4698"/>
      <c r="C19" s="4698"/>
      <c r="D19" s="4698"/>
      <c r="E19" s="4698"/>
      <c r="F19" s="4698"/>
      <c r="G19" s="4698"/>
      <c r="H19" s="4698"/>
    </row>
    <row r="20" spans="1:8" ht="13.5" customHeight="1"/>
    <row r="21" spans="1:8" ht="12" customHeight="1">
      <c r="A21" s="549" t="s">
        <v>2877</v>
      </c>
    </row>
    <row r="22" spans="1:8" ht="3" customHeight="1"/>
    <row r="23" spans="1:8" ht="24.75" customHeight="1">
      <c r="A23" s="4736" t="s">
        <v>3951</v>
      </c>
      <c r="B23" s="4736"/>
      <c r="C23" s="4736"/>
      <c r="D23" s="4736"/>
      <c r="E23" s="4736"/>
      <c r="F23" s="4736"/>
      <c r="G23" s="4736"/>
      <c r="H23" s="4736"/>
    </row>
    <row r="24" spans="1:8" ht="9" customHeight="1" thickBot="1">
      <c r="A24" s="600"/>
    </row>
    <row r="25" spans="1:8" ht="16.149999999999999" customHeight="1" thickBot="1">
      <c r="A25" s="4737">
        <v>20</v>
      </c>
      <c r="B25" s="4738"/>
      <c r="C25" s="1387" t="s">
        <v>974</v>
      </c>
    </row>
    <row r="26" spans="1:8" ht="9" customHeight="1">
      <c r="A26" s="600"/>
    </row>
    <row r="27" spans="1:8" ht="28.15" customHeight="1">
      <c r="A27" s="4730" t="s">
        <v>3956</v>
      </c>
      <c r="B27" s="4730"/>
      <c r="C27" s="4730"/>
      <c r="D27" s="4730"/>
      <c r="E27" s="4730"/>
      <c r="F27" s="4730"/>
      <c r="G27" s="4730"/>
      <c r="H27" s="4730"/>
    </row>
    <row r="28" spans="1:8" ht="9" customHeight="1">
      <c r="A28" s="600"/>
    </row>
    <row r="29" spans="1:8">
      <c r="A29" s="608" t="s">
        <v>2913</v>
      </c>
      <c r="B29" s="625" t="str">
        <f>IF('Part V-Revenues &amp; Expenses'!$K$62=0,"",'Part V-Revenues &amp; Expenses'!$K$62)</f>
        <v/>
      </c>
      <c r="C29" s="608" t="s">
        <v>3949</v>
      </c>
      <c r="D29" s="626" t="s">
        <v>3950</v>
      </c>
    </row>
    <row r="30" spans="1:8" ht="1.9" customHeight="1"/>
    <row r="31" spans="1:8" ht="12.75" customHeight="1">
      <c r="C31" s="605" t="s">
        <v>2878</v>
      </c>
      <c r="D31" s="627" t="s">
        <v>1839</v>
      </c>
      <c r="E31" s="628"/>
      <c r="F31" s="4730" t="s">
        <v>2879</v>
      </c>
      <c r="G31" s="4730"/>
      <c r="H31" s="4730"/>
    </row>
    <row r="32" spans="1:8" ht="12.75" customHeight="1">
      <c r="C32" s="629" t="s">
        <v>1273</v>
      </c>
      <c r="D32" s="627" t="s">
        <v>1841</v>
      </c>
      <c r="E32" s="4730" t="s">
        <v>2918</v>
      </c>
      <c r="F32" s="4730"/>
      <c r="G32" s="4730"/>
      <c r="H32" s="4730"/>
    </row>
    <row r="33" spans="1:11" ht="12.75" customHeight="1">
      <c r="C33" s="1385" t="s">
        <v>3954</v>
      </c>
      <c r="E33" s="4730" t="s">
        <v>3037</v>
      </c>
      <c r="F33" s="4730"/>
      <c r="G33" s="4730"/>
      <c r="H33" s="4730"/>
    </row>
    <row r="34" spans="1:11" ht="12.75" customHeight="1">
      <c r="C34" s="1386"/>
      <c r="D34" s="1384" t="s">
        <v>2917</v>
      </c>
      <c r="E34" s="4731" t="s">
        <v>3038</v>
      </c>
      <c r="F34" s="4731"/>
      <c r="G34" s="4731"/>
      <c r="H34" s="4731"/>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30" t="s">
        <v>2918</v>
      </c>
      <c r="F37" s="4730"/>
      <c r="G37" s="4730"/>
      <c r="H37" s="4730"/>
    </row>
    <row r="38" spans="1:11" ht="12.75" customHeight="1">
      <c r="C38" s="1385" t="s">
        <v>3954</v>
      </c>
      <c r="E38" s="4730" t="s">
        <v>3037</v>
      </c>
      <c r="F38" s="4730"/>
      <c r="G38" s="4730"/>
      <c r="H38" s="4730"/>
    </row>
    <row r="39" spans="1:11" ht="12.75" customHeight="1">
      <c r="C39" s="1386"/>
      <c r="D39" s="1384" t="s">
        <v>2917</v>
      </c>
      <c r="E39" s="4731" t="s">
        <v>3038</v>
      </c>
      <c r="F39" s="4731"/>
      <c r="G39" s="4731"/>
      <c r="H39" s="4731"/>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30" t="s">
        <v>2918</v>
      </c>
      <c r="F42" s="4730"/>
      <c r="G42" s="4730"/>
      <c r="H42" s="4730"/>
    </row>
    <row r="43" spans="1:11" ht="12.75" customHeight="1">
      <c r="C43" s="1385" t="s">
        <v>3954</v>
      </c>
      <c r="E43" s="4730" t="s">
        <v>3037</v>
      </c>
      <c r="F43" s="4730"/>
      <c r="G43" s="4730"/>
      <c r="H43" s="4730"/>
    </row>
    <row r="44" spans="1:11" ht="12.75" customHeight="1">
      <c r="C44" s="1386"/>
      <c r="D44" s="1384" t="s">
        <v>2917</v>
      </c>
      <c r="E44" s="4731" t="s">
        <v>3038</v>
      </c>
      <c r="F44" s="4731"/>
      <c r="G44" s="4731"/>
      <c r="H44" s="4731"/>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30" t="s">
        <v>2918</v>
      </c>
      <c r="F49" s="4730"/>
      <c r="G49" s="4730"/>
      <c r="H49" s="4730"/>
      <c r="K49" s="599"/>
    </row>
    <row r="50" spans="1:11" ht="12.75" customHeight="1">
      <c r="C50" s="1385" t="s">
        <v>3954</v>
      </c>
      <c r="E50" s="4730" t="s">
        <v>3037</v>
      </c>
      <c r="F50" s="4730"/>
      <c r="G50" s="4730"/>
      <c r="H50" s="4730"/>
    </row>
    <row r="51" spans="1:11" ht="12.75" customHeight="1">
      <c r="C51" s="1386"/>
      <c r="D51" s="630" t="s">
        <v>2917</v>
      </c>
      <c r="E51" s="4730" t="s">
        <v>3038</v>
      </c>
      <c r="F51" s="4730"/>
      <c r="G51" s="4730"/>
      <c r="H51" s="4730"/>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30" t="s">
        <v>2918</v>
      </c>
      <c r="F54" s="4730"/>
      <c r="G54" s="4730"/>
      <c r="H54" s="4730"/>
    </row>
    <row r="55" spans="1:11" ht="12.75" customHeight="1">
      <c r="C55" s="1385" t="s">
        <v>3954</v>
      </c>
      <c r="E55" s="4730" t="s">
        <v>3037</v>
      </c>
      <c r="F55" s="4730"/>
      <c r="G55" s="4730"/>
      <c r="H55" s="4730"/>
    </row>
    <row r="56" spans="1:11" ht="12.75" customHeight="1">
      <c r="C56" s="1386"/>
      <c r="D56" s="1384" t="s">
        <v>2917</v>
      </c>
      <c r="E56" s="4731" t="s">
        <v>3038</v>
      </c>
      <c r="F56" s="4731"/>
      <c r="G56" s="4731"/>
      <c r="H56" s="4731"/>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30" t="s">
        <v>2918</v>
      </c>
      <c r="F59" s="4730"/>
      <c r="G59" s="4730"/>
      <c r="H59" s="4730"/>
    </row>
    <row r="60" spans="1:11" ht="12.75" customHeight="1">
      <c r="C60" s="1385" t="s">
        <v>3954</v>
      </c>
      <c r="E60" s="4730" t="s">
        <v>3037</v>
      </c>
      <c r="F60" s="4730"/>
      <c r="G60" s="4730"/>
      <c r="H60" s="4730"/>
    </row>
    <row r="61" spans="1:11" ht="12.75" customHeight="1">
      <c r="C61" s="1386"/>
      <c r="D61" s="1384" t="s">
        <v>2917</v>
      </c>
      <c r="E61" s="4731" t="s">
        <v>3038</v>
      </c>
      <c r="F61" s="4731"/>
      <c r="G61" s="4731"/>
      <c r="H61" s="4731"/>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30" t="s">
        <v>2918</v>
      </c>
      <c r="F66" s="4730"/>
      <c r="G66" s="4730"/>
      <c r="H66" s="4730"/>
    </row>
    <row r="67" spans="1:8" ht="12.75" customHeight="1">
      <c r="C67" s="1385" t="s">
        <v>3954</v>
      </c>
      <c r="E67" s="4730" t="s">
        <v>3037</v>
      </c>
      <c r="F67" s="4730"/>
      <c r="G67" s="4730"/>
      <c r="H67" s="4730"/>
    </row>
    <row r="68" spans="1:8" ht="12.75" customHeight="1">
      <c r="C68" s="1386"/>
      <c r="D68" s="630" t="s">
        <v>2917</v>
      </c>
      <c r="E68" s="4730" t="s">
        <v>3038</v>
      </c>
      <c r="F68" s="4730"/>
      <c r="G68" s="4730"/>
      <c r="H68" s="4730"/>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30" t="s">
        <v>2918</v>
      </c>
      <c r="F71" s="4730"/>
      <c r="G71" s="4730"/>
      <c r="H71" s="4730"/>
    </row>
    <row r="72" spans="1:8" ht="12.75" customHeight="1">
      <c r="C72" s="1385" t="s">
        <v>3954</v>
      </c>
      <c r="E72" s="4730" t="s">
        <v>3037</v>
      </c>
      <c r="F72" s="4730"/>
      <c r="G72" s="4730"/>
      <c r="H72" s="4730"/>
    </row>
    <row r="73" spans="1:8" ht="12.75" customHeight="1">
      <c r="C73" s="1386"/>
      <c r="D73" s="1384" t="s">
        <v>2917</v>
      </c>
      <c r="E73" s="4731" t="s">
        <v>3038</v>
      </c>
      <c r="F73" s="4731"/>
      <c r="G73" s="4731"/>
      <c r="H73" s="4731"/>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30" t="s">
        <v>2918</v>
      </c>
      <c r="F76" s="4730"/>
      <c r="G76" s="4730"/>
      <c r="H76" s="4730"/>
    </row>
    <row r="77" spans="1:8" ht="12.75" customHeight="1">
      <c r="C77" s="1385" t="s">
        <v>3954</v>
      </c>
      <c r="E77" s="4730" t="s">
        <v>3037</v>
      </c>
      <c r="F77" s="4730"/>
      <c r="G77" s="4730"/>
      <c r="H77" s="4730"/>
    </row>
    <row r="78" spans="1:8" ht="12.75" customHeight="1">
      <c r="C78" s="1386"/>
      <c r="D78" s="1384" t="s">
        <v>2917</v>
      </c>
      <c r="E78" s="4731" t="s">
        <v>3038</v>
      </c>
      <c r="F78" s="4731"/>
      <c r="G78" s="4731"/>
      <c r="H78" s="4731"/>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30" t="s">
        <v>2918</v>
      </c>
      <c r="F83" s="4730"/>
      <c r="G83" s="4730"/>
      <c r="H83" s="4730"/>
    </row>
    <row r="84" spans="3:8" ht="12.75" customHeight="1">
      <c r="C84" s="1385" t="s">
        <v>3954</v>
      </c>
      <c r="E84" s="4730" t="s">
        <v>3037</v>
      </c>
      <c r="F84" s="4730"/>
      <c r="G84" s="4730"/>
      <c r="H84" s="4730"/>
    </row>
    <row r="85" spans="3:8" ht="12.75" customHeight="1">
      <c r="C85" s="1386"/>
      <c r="D85" s="630" t="s">
        <v>2917</v>
      </c>
      <c r="E85" s="4730" t="s">
        <v>3038</v>
      </c>
      <c r="F85" s="4730"/>
      <c r="G85" s="4730"/>
      <c r="H85" s="4730"/>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30" t="s">
        <v>2918</v>
      </c>
      <c r="F88" s="4730"/>
      <c r="G88" s="4730"/>
      <c r="H88" s="4730"/>
    </row>
    <row r="89" spans="3:8" ht="12.75" customHeight="1">
      <c r="C89" s="1385" t="s">
        <v>3954</v>
      </c>
      <c r="E89" s="4730" t="s">
        <v>3037</v>
      </c>
      <c r="F89" s="4730"/>
      <c r="G89" s="4730"/>
      <c r="H89" s="4730"/>
    </row>
    <row r="90" spans="3:8" ht="12.75" customHeight="1">
      <c r="C90" s="1386"/>
      <c r="D90" s="1384" t="s">
        <v>2917</v>
      </c>
      <c r="E90" s="4731" t="s">
        <v>3038</v>
      </c>
      <c r="F90" s="4731"/>
      <c r="G90" s="4731"/>
      <c r="H90" s="4731"/>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30" t="s">
        <v>2918</v>
      </c>
      <c r="F93" s="4730"/>
      <c r="G93" s="4730"/>
      <c r="H93" s="4730"/>
    </row>
    <row r="94" spans="3:8" ht="12.75" customHeight="1">
      <c r="C94" s="1385" t="s">
        <v>3954</v>
      </c>
      <c r="E94" s="4730" t="s">
        <v>3037</v>
      </c>
      <c r="F94" s="4730"/>
      <c r="G94" s="4730"/>
      <c r="H94" s="4730"/>
    </row>
    <row r="95" spans="3:8" ht="12.75" customHeight="1">
      <c r="C95" s="1386"/>
      <c r="D95" s="1384" t="s">
        <v>2917</v>
      </c>
      <c r="E95" s="4731" t="s">
        <v>3038</v>
      </c>
      <c r="F95" s="4731"/>
      <c r="G95" s="4731"/>
      <c r="H95" s="4731"/>
    </row>
    <row r="96" spans="3:8" ht="6" customHeight="1">
      <c r="D96" s="627"/>
      <c r="E96" s="1004"/>
      <c r="F96" s="1004"/>
      <c r="G96" s="1004"/>
      <c r="H96" s="1004"/>
    </row>
    <row r="97" spans="1:11">
      <c r="A97" s="608" t="s">
        <v>2913</v>
      </c>
      <c r="B97" s="625" t="str">
        <f>IF('Part V-Revenues &amp; Expenses'!$O$62=0,"",'Part V-Revenues &amp; Expenses'!$O$62)</f>
        <v/>
      </c>
      <c r="C97" s="608" t="s">
        <v>3952</v>
      </c>
      <c r="D97" s="626" t="s">
        <v>3953</v>
      </c>
    </row>
    <row r="98" spans="1:11" ht="1.9" customHeight="1"/>
    <row r="99" spans="1:11" ht="12.75" customHeight="1">
      <c r="C99" s="605" t="s">
        <v>2878</v>
      </c>
      <c r="D99" s="627" t="s">
        <v>1839</v>
      </c>
      <c r="E99" s="628"/>
      <c r="F99" s="4730" t="s">
        <v>2879</v>
      </c>
      <c r="G99" s="4730"/>
      <c r="H99" s="4730"/>
      <c r="K99" s="431" t="s">
        <v>233</v>
      </c>
    </row>
    <row r="100" spans="1:11" ht="12.75" customHeight="1">
      <c r="C100" s="629" t="s">
        <v>1273</v>
      </c>
      <c r="D100" s="627" t="s">
        <v>1841</v>
      </c>
      <c r="E100" s="4730" t="s">
        <v>2919</v>
      </c>
      <c r="F100" s="4730"/>
      <c r="G100" s="4730"/>
      <c r="H100" s="4730"/>
    </row>
    <row r="101" spans="1:11" ht="12.75" customHeight="1">
      <c r="E101" s="4730" t="s">
        <v>3037</v>
      </c>
      <c r="F101" s="4730"/>
      <c r="G101" s="4730"/>
      <c r="H101" s="4730"/>
    </row>
    <row r="102" spans="1:11" ht="12.75" customHeight="1">
      <c r="D102" s="630" t="s">
        <v>2917</v>
      </c>
      <c r="E102" s="4730" t="s">
        <v>3038</v>
      </c>
      <c r="F102" s="4730"/>
      <c r="G102" s="4730"/>
      <c r="H102" s="4730"/>
    </row>
    <row r="103" spans="1:11" ht="9" customHeight="1" thickBot="1"/>
    <row r="104" spans="1:11" ht="16.149999999999999" customHeight="1" thickBot="1">
      <c r="A104" s="4737">
        <v>30</v>
      </c>
      <c r="B104" s="4738"/>
      <c r="C104" s="1387" t="s">
        <v>974</v>
      </c>
    </row>
    <row r="105" spans="1:11" ht="9" customHeight="1">
      <c r="A105" s="600"/>
    </row>
    <row r="106" spans="1:11" ht="28.15" customHeight="1">
      <c r="A106" s="4730" t="s">
        <v>3957</v>
      </c>
      <c r="B106" s="4730"/>
      <c r="C106" s="4730"/>
      <c r="D106" s="4730"/>
      <c r="E106" s="4730"/>
      <c r="F106" s="4730"/>
      <c r="G106" s="4730"/>
      <c r="H106" s="4730"/>
    </row>
    <row r="107" spans="1:11" ht="9" customHeight="1">
      <c r="A107" s="600"/>
    </row>
    <row r="108" spans="1:11">
      <c r="A108" s="608" t="s">
        <v>2913</v>
      </c>
      <c r="B108" s="625" t="str">
        <f>IF('Part V-Revenues &amp; Expenses'!$K$61=0,"",'Part V-Revenues &amp; Expenses'!$K$61)</f>
        <v/>
      </c>
      <c r="C108" s="608" t="s">
        <v>3949</v>
      </c>
      <c r="D108" s="626" t="s">
        <v>3950</v>
      </c>
    </row>
    <row r="109" spans="1:11" ht="1.9" customHeight="1"/>
    <row r="110" spans="1:11" ht="12.75" customHeight="1">
      <c r="C110" s="605" t="s">
        <v>2878</v>
      </c>
      <c r="D110" s="627" t="s">
        <v>1839</v>
      </c>
      <c r="E110" s="628"/>
      <c r="F110" s="4730" t="s">
        <v>2879</v>
      </c>
      <c r="G110" s="4730"/>
      <c r="H110" s="4730"/>
    </row>
    <row r="111" spans="1:11" ht="12.75" customHeight="1">
      <c r="C111" s="629" t="s">
        <v>1273</v>
      </c>
      <c r="D111" s="627" t="s">
        <v>1841</v>
      </c>
      <c r="E111" s="4730" t="s">
        <v>2918</v>
      </c>
      <c r="F111" s="4730"/>
      <c r="G111" s="4730"/>
      <c r="H111" s="4730"/>
    </row>
    <row r="112" spans="1:11" ht="12.75" customHeight="1">
      <c r="C112" s="1385" t="s">
        <v>3954</v>
      </c>
      <c r="E112" s="4730" t="s">
        <v>3037</v>
      </c>
      <c r="F112" s="4730"/>
      <c r="G112" s="4730"/>
      <c r="H112" s="4730"/>
    </row>
    <row r="113" spans="1:8" ht="12.75" customHeight="1">
      <c r="C113" s="1386"/>
      <c r="D113" s="1384" t="s">
        <v>2917</v>
      </c>
      <c r="E113" s="4731" t="s">
        <v>3038</v>
      </c>
      <c r="F113" s="4731"/>
      <c r="G113" s="4731"/>
      <c r="H113" s="4731"/>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30" t="s">
        <v>2918</v>
      </c>
      <c r="F116" s="4730"/>
      <c r="G116" s="4730"/>
      <c r="H116" s="4730"/>
    </row>
    <row r="117" spans="1:8" ht="12.75" customHeight="1">
      <c r="C117" s="1385" t="s">
        <v>3954</v>
      </c>
      <c r="E117" s="4730" t="s">
        <v>3037</v>
      </c>
      <c r="F117" s="4730"/>
      <c r="G117" s="4730"/>
      <c r="H117" s="4730"/>
    </row>
    <row r="118" spans="1:8" ht="12.75" customHeight="1">
      <c r="C118" s="1386"/>
      <c r="D118" s="1384" t="s">
        <v>2917</v>
      </c>
      <c r="E118" s="4731" t="s">
        <v>3038</v>
      </c>
      <c r="F118" s="4731"/>
      <c r="G118" s="4731"/>
      <c r="H118" s="4731"/>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30" t="s">
        <v>2918</v>
      </c>
      <c r="F121" s="4730"/>
      <c r="G121" s="4730"/>
      <c r="H121" s="4730"/>
    </row>
    <row r="122" spans="1:8" ht="12.75" customHeight="1">
      <c r="C122" s="1385" t="s">
        <v>3954</v>
      </c>
      <c r="E122" s="4730" t="s">
        <v>3037</v>
      </c>
      <c r="F122" s="4730"/>
      <c r="G122" s="4730"/>
      <c r="H122" s="4730"/>
    </row>
    <row r="123" spans="1:8" ht="12.75" customHeight="1">
      <c r="C123" s="1386"/>
      <c r="D123" s="1384" t="s">
        <v>2917</v>
      </c>
      <c r="E123" s="4731" t="s">
        <v>3038</v>
      </c>
      <c r="F123" s="4731"/>
      <c r="G123" s="4731"/>
      <c r="H123" s="4731"/>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30" t="s">
        <v>2918</v>
      </c>
      <c r="F128" s="4730"/>
      <c r="G128" s="4730"/>
      <c r="H128" s="4730"/>
    </row>
    <row r="129" spans="1:8" ht="12.75" customHeight="1">
      <c r="C129" s="1385" t="s">
        <v>3954</v>
      </c>
      <c r="E129" s="4730" t="s">
        <v>3037</v>
      </c>
      <c r="F129" s="4730"/>
      <c r="G129" s="4730"/>
      <c r="H129" s="4730"/>
    </row>
    <row r="130" spans="1:8" ht="12.75" customHeight="1">
      <c r="C130" s="1386"/>
      <c r="D130" s="630" t="s">
        <v>2917</v>
      </c>
      <c r="E130" s="4730" t="s">
        <v>3038</v>
      </c>
      <c r="F130" s="4730"/>
      <c r="G130" s="4730"/>
      <c r="H130" s="4730"/>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30" t="s">
        <v>2918</v>
      </c>
      <c r="F133" s="4730"/>
      <c r="G133" s="4730"/>
      <c r="H133" s="4730"/>
    </row>
    <row r="134" spans="1:8" ht="12.75" customHeight="1">
      <c r="C134" s="1385" t="s">
        <v>3954</v>
      </c>
      <c r="E134" s="4730" t="s">
        <v>3037</v>
      </c>
      <c r="F134" s="4730"/>
      <c r="G134" s="4730"/>
      <c r="H134" s="4730"/>
    </row>
    <row r="135" spans="1:8" ht="12.75" customHeight="1">
      <c r="C135" s="1386"/>
      <c r="D135" s="1384" t="s">
        <v>2917</v>
      </c>
      <c r="E135" s="4731" t="s">
        <v>3038</v>
      </c>
      <c r="F135" s="4731"/>
      <c r="G135" s="4731"/>
      <c r="H135" s="4731"/>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30" t="s">
        <v>2918</v>
      </c>
      <c r="F138" s="4730"/>
      <c r="G138" s="4730"/>
      <c r="H138" s="4730"/>
    </row>
    <row r="139" spans="1:8" ht="12.75" customHeight="1">
      <c r="C139" s="1385" t="s">
        <v>3954</v>
      </c>
      <c r="E139" s="4730" t="s">
        <v>3037</v>
      </c>
      <c r="F139" s="4730"/>
      <c r="G139" s="4730"/>
      <c r="H139" s="4730"/>
    </row>
    <row r="140" spans="1:8" ht="12.75" customHeight="1">
      <c r="C140" s="1386"/>
      <c r="D140" s="1384" t="s">
        <v>2917</v>
      </c>
      <c r="E140" s="4731" t="s">
        <v>3038</v>
      </c>
      <c r="F140" s="4731"/>
      <c r="G140" s="4731"/>
      <c r="H140" s="4731"/>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30" t="s">
        <v>2918</v>
      </c>
      <c r="F145" s="4730"/>
      <c r="G145" s="4730"/>
      <c r="H145" s="4730"/>
    </row>
    <row r="146" spans="1:8" ht="12.75" customHeight="1">
      <c r="C146" s="1385" t="s">
        <v>3954</v>
      </c>
      <c r="E146" s="4730" t="s">
        <v>3037</v>
      </c>
      <c r="F146" s="4730"/>
      <c r="G146" s="4730"/>
      <c r="H146" s="4730"/>
    </row>
    <row r="147" spans="1:8" ht="12.75" customHeight="1">
      <c r="C147" s="1386"/>
      <c r="D147" s="630" t="s">
        <v>2917</v>
      </c>
      <c r="E147" s="4730" t="s">
        <v>3038</v>
      </c>
      <c r="F147" s="4730"/>
      <c r="G147" s="4730"/>
      <c r="H147" s="4730"/>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30" t="s">
        <v>2918</v>
      </c>
      <c r="F150" s="4730"/>
      <c r="G150" s="4730"/>
      <c r="H150" s="4730"/>
    </row>
    <row r="151" spans="1:8" ht="12.75" customHeight="1">
      <c r="C151" s="1385" t="s">
        <v>3954</v>
      </c>
      <c r="E151" s="4730" t="s">
        <v>3037</v>
      </c>
      <c r="F151" s="4730"/>
      <c r="G151" s="4730"/>
      <c r="H151" s="4730"/>
    </row>
    <row r="152" spans="1:8" ht="12.75" customHeight="1">
      <c r="C152" s="1386"/>
      <c r="D152" s="1384" t="s">
        <v>2917</v>
      </c>
      <c r="E152" s="4731" t="s">
        <v>3038</v>
      </c>
      <c r="F152" s="4731"/>
      <c r="G152" s="4731"/>
      <c r="H152" s="4731"/>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30" t="s">
        <v>2918</v>
      </c>
      <c r="F155" s="4730"/>
      <c r="G155" s="4730"/>
      <c r="H155" s="4730"/>
    </row>
    <row r="156" spans="1:8" ht="12.75" customHeight="1">
      <c r="C156" s="1385" t="s">
        <v>3954</v>
      </c>
      <c r="E156" s="4730" t="s">
        <v>3037</v>
      </c>
      <c r="F156" s="4730"/>
      <c r="G156" s="4730"/>
      <c r="H156" s="4730"/>
    </row>
    <row r="157" spans="1:8" ht="12.75" customHeight="1">
      <c r="C157" s="1386"/>
      <c r="D157" s="1384" t="s">
        <v>2917</v>
      </c>
      <c r="E157" s="4731" t="s">
        <v>3038</v>
      </c>
      <c r="F157" s="4731"/>
      <c r="G157" s="4731"/>
      <c r="H157" s="4731"/>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30" t="s">
        <v>2918</v>
      </c>
      <c r="F162" s="4730"/>
      <c r="G162" s="4730"/>
      <c r="H162" s="4730"/>
    </row>
    <row r="163" spans="1:8" ht="12.75" customHeight="1">
      <c r="C163" s="1385" t="s">
        <v>3954</v>
      </c>
      <c r="E163" s="4730" t="s">
        <v>3037</v>
      </c>
      <c r="F163" s="4730"/>
      <c r="G163" s="4730"/>
      <c r="H163" s="4730"/>
    </row>
    <row r="164" spans="1:8" ht="12.75" customHeight="1">
      <c r="C164" s="1386"/>
      <c r="D164" s="630" t="s">
        <v>2917</v>
      </c>
      <c r="E164" s="4730" t="s">
        <v>3038</v>
      </c>
      <c r="F164" s="4730"/>
      <c r="G164" s="4730"/>
      <c r="H164" s="4730"/>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30" t="s">
        <v>2918</v>
      </c>
      <c r="F167" s="4730"/>
      <c r="G167" s="4730"/>
      <c r="H167" s="4730"/>
    </row>
    <row r="168" spans="1:8" ht="12.75" customHeight="1">
      <c r="C168" s="1385" t="s">
        <v>3954</v>
      </c>
      <c r="E168" s="4730" t="s">
        <v>3037</v>
      </c>
      <c r="F168" s="4730"/>
      <c r="G168" s="4730"/>
      <c r="H168" s="4730"/>
    </row>
    <row r="169" spans="1:8" ht="12.75" customHeight="1">
      <c r="C169" s="1386"/>
      <c r="D169" s="1384" t="s">
        <v>2917</v>
      </c>
      <c r="E169" s="4731" t="s">
        <v>3038</v>
      </c>
      <c r="F169" s="4731"/>
      <c r="G169" s="4731"/>
      <c r="H169" s="4731"/>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30" t="s">
        <v>2918</v>
      </c>
      <c r="F172" s="4730"/>
      <c r="G172" s="4730"/>
      <c r="H172" s="4730"/>
    </row>
    <row r="173" spans="1:8" ht="12.75" customHeight="1">
      <c r="C173" s="1385" t="s">
        <v>3954</v>
      </c>
      <c r="E173" s="4730" t="s">
        <v>3037</v>
      </c>
      <c r="F173" s="4730"/>
      <c r="G173" s="4730"/>
      <c r="H173" s="4730"/>
    </row>
    <row r="174" spans="1:8" ht="12.75" customHeight="1">
      <c r="C174" s="1386"/>
      <c r="D174" s="1384" t="s">
        <v>2917</v>
      </c>
      <c r="E174" s="4731" t="s">
        <v>3038</v>
      </c>
      <c r="F174" s="4731"/>
      <c r="G174" s="4731"/>
      <c r="H174" s="4731"/>
    </row>
    <row r="175" spans="1:8" ht="6" customHeight="1">
      <c r="D175" s="627"/>
      <c r="E175" s="1004"/>
      <c r="F175" s="1004"/>
      <c r="G175" s="1004"/>
      <c r="H175" s="1004"/>
    </row>
    <row r="176" spans="1:8">
      <c r="A176" s="608" t="s">
        <v>2913</v>
      </c>
      <c r="B176" s="625" t="str">
        <f>IF('Part V-Revenues &amp; Expenses'!$O61=0,"",'Part V-Revenues &amp; Expenses'!$O$61)</f>
        <v/>
      </c>
      <c r="C176" s="608" t="s">
        <v>3952</v>
      </c>
      <c r="D176" s="626" t="s">
        <v>3953</v>
      </c>
    </row>
    <row r="177" spans="1:11" ht="1.9" customHeight="1"/>
    <row r="178" spans="1:11" ht="12.75" customHeight="1">
      <c r="C178" s="605" t="s">
        <v>2878</v>
      </c>
      <c r="D178" s="627" t="s">
        <v>1839</v>
      </c>
      <c r="E178" s="628"/>
      <c r="F178" s="4730" t="s">
        <v>2879</v>
      </c>
      <c r="G178" s="4730"/>
      <c r="H178" s="4730"/>
      <c r="K178" s="431" t="s">
        <v>233</v>
      </c>
    </row>
    <row r="179" spans="1:11" ht="12.75" customHeight="1">
      <c r="C179" s="629" t="s">
        <v>1273</v>
      </c>
      <c r="D179" s="627" t="s">
        <v>1841</v>
      </c>
      <c r="E179" s="4730" t="s">
        <v>2919</v>
      </c>
      <c r="F179" s="4730"/>
      <c r="G179" s="4730"/>
      <c r="H179" s="4730"/>
    </row>
    <row r="180" spans="1:11" ht="12.75" customHeight="1">
      <c r="E180" s="4730" t="s">
        <v>3037</v>
      </c>
      <c r="F180" s="4730"/>
      <c r="G180" s="4730"/>
      <c r="H180" s="4730"/>
    </row>
    <row r="181" spans="1:11" ht="12.75" customHeight="1">
      <c r="D181" s="630" t="s">
        <v>2917</v>
      </c>
      <c r="E181" s="4730" t="s">
        <v>3038</v>
      </c>
      <c r="F181" s="4730"/>
      <c r="G181" s="4730"/>
      <c r="H181" s="4730"/>
    </row>
    <row r="182" spans="1:11" ht="9" customHeight="1" thickBot="1"/>
    <row r="183" spans="1:11" ht="16.149999999999999" customHeight="1" thickBot="1">
      <c r="A183" s="4737">
        <v>40</v>
      </c>
      <c r="B183" s="4738"/>
      <c r="C183" s="1387" t="s">
        <v>974</v>
      </c>
    </row>
    <row r="184" spans="1:11" ht="9" customHeight="1">
      <c r="A184" s="600"/>
    </row>
    <row r="185" spans="1:11" ht="28.15" customHeight="1">
      <c r="A185" s="4730" t="s">
        <v>3958</v>
      </c>
      <c r="B185" s="4730"/>
      <c r="C185" s="4730"/>
      <c r="D185" s="4730"/>
      <c r="E185" s="4730"/>
      <c r="F185" s="4730"/>
      <c r="G185" s="4730"/>
      <c r="H185" s="4730"/>
    </row>
    <row r="186" spans="1:11" ht="9" customHeight="1">
      <c r="A186" s="600"/>
    </row>
    <row r="187" spans="1:11">
      <c r="A187" s="608" t="s">
        <v>2913</v>
      </c>
      <c r="B187" s="625" t="str">
        <f>IF('Part V-Revenues &amp; Expenses'!$K$60=0,"",'Part V-Revenues &amp; Expenses'!$K$60)</f>
        <v/>
      </c>
      <c r="C187" s="608" t="s">
        <v>3949</v>
      </c>
      <c r="D187" s="626" t="s">
        <v>3950</v>
      </c>
    </row>
    <row r="188" spans="1:11" ht="1.9" customHeight="1"/>
    <row r="189" spans="1:11" ht="12.75" customHeight="1">
      <c r="C189" s="605" t="s">
        <v>2878</v>
      </c>
      <c r="D189" s="627" t="s">
        <v>1839</v>
      </c>
      <c r="E189" s="628"/>
      <c r="F189" s="4730" t="s">
        <v>2879</v>
      </c>
      <c r="G189" s="4730"/>
      <c r="H189" s="4730"/>
    </row>
    <row r="190" spans="1:11" ht="12.75" customHeight="1">
      <c r="C190" s="629" t="s">
        <v>1273</v>
      </c>
      <c r="D190" s="627" t="s">
        <v>1841</v>
      </c>
      <c r="E190" s="4730" t="s">
        <v>2918</v>
      </c>
      <c r="F190" s="4730"/>
      <c r="G190" s="4730"/>
      <c r="H190" s="4730"/>
    </row>
    <row r="191" spans="1:11" ht="12.75" customHeight="1">
      <c r="C191" s="1385" t="s">
        <v>3954</v>
      </c>
      <c r="E191" s="4730" t="s">
        <v>3037</v>
      </c>
      <c r="F191" s="4730"/>
      <c r="G191" s="4730"/>
      <c r="H191" s="4730"/>
    </row>
    <row r="192" spans="1:11" ht="12.75" customHeight="1">
      <c r="C192" s="1386"/>
      <c r="D192" s="1384" t="s">
        <v>2917</v>
      </c>
      <c r="E192" s="4731" t="s">
        <v>3038</v>
      </c>
      <c r="F192" s="4731"/>
      <c r="G192" s="4731"/>
      <c r="H192" s="4731"/>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30" t="s">
        <v>2918</v>
      </c>
      <c r="F195" s="4730"/>
      <c r="G195" s="4730"/>
      <c r="H195" s="4730"/>
    </row>
    <row r="196" spans="1:8" ht="12.75" customHeight="1">
      <c r="C196" s="1385" t="s">
        <v>3954</v>
      </c>
      <c r="E196" s="4730" t="s">
        <v>3037</v>
      </c>
      <c r="F196" s="4730"/>
      <c r="G196" s="4730"/>
      <c r="H196" s="4730"/>
    </row>
    <row r="197" spans="1:8" ht="12.75" customHeight="1">
      <c r="C197" s="1386"/>
      <c r="D197" s="1384" t="s">
        <v>2917</v>
      </c>
      <c r="E197" s="4731" t="s">
        <v>3038</v>
      </c>
      <c r="F197" s="4731"/>
      <c r="G197" s="4731"/>
      <c r="H197" s="4731"/>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30" t="s">
        <v>2918</v>
      </c>
      <c r="F200" s="4730"/>
      <c r="G200" s="4730"/>
      <c r="H200" s="4730"/>
    </row>
    <row r="201" spans="1:8" ht="12.75" customHeight="1">
      <c r="C201" s="1385" t="s">
        <v>3954</v>
      </c>
      <c r="E201" s="4730" t="s">
        <v>3037</v>
      </c>
      <c r="F201" s="4730"/>
      <c r="G201" s="4730"/>
      <c r="H201" s="4730"/>
    </row>
    <row r="202" spans="1:8" ht="12.75" customHeight="1">
      <c r="C202" s="1386"/>
      <c r="D202" s="1384" t="s">
        <v>2917</v>
      </c>
      <c r="E202" s="4731" t="s">
        <v>3038</v>
      </c>
      <c r="F202" s="4731"/>
      <c r="G202" s="4731"/>
      <c r="H202" s="4731"/>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30" t="s">
        <v>2918</v>
      </c>
      <c r="F207" s="4730"/>
      <c r="G207" s="4730"/>
      <c r="H207" s="4730"/>
    </row>
    <row r="208" spans="1:8" ht="12.75" customHeight="1">
      <c r="C208" s="1385" t="s">
        <v>3954</v>
      </c>
      <c r="E208" s="4730" t="s">
        <v>3037</v>
      </c>
      <c r="F208" s="4730"/>
      <c r="G208" s="4730"/>
      <c r="H208" s="4730"/>
    </row>
    <row r="209" spans="1:8" ht="12.75" customHeight="1">
      <c r="C209" s="1386"/>
      <c r="D209" s="630" t="s">
        <v>2917</v>
      </c>
      <c r="E209" s="4730" t="s">
        <v>3038</v>
      </c>
      <c r="F209" s="4730"/>
      <c r="G209" s="4730"/>
      <c r="H209" s="4730"/>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30" t="s">
        <v>2918</v>
      </c>
      <c r="F212" s="4730"/>
      <c r="G212" s="4730"/>
      <c r="H212" s="4730"/>
    </row>
    <row r="213" spans="1:8" ht="12.75" customHeight="1">
      <c r="C213" s="1385" t="s">
        <v>3954</v>
      </c>
      <c r="E213" s="4730" t="s">
        <v>3037</v>
      </c>
      <c r="F213" s="4730"/>
      <c r="G213" s="4730"/>
      <c r="H213" s="4730"/>
    </row>
    <row r="214" spans="1:8" ht="12.75" customHeight="1">
      <c r="C214" s="1386"/>
      <c r="D214" s="1384" t="s">
        <v>2917</v>
      </c>
      <c r="E214" s="4731" t="s">
        <v>3038</v>
      </c>
      <c r="F214" s="4731"/>
      <c r="G214" s="4731"/>
      <c r="H214" s="4731"/>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30" t="s">
        <v>2918</v>
      </c>
      <c r="F217" s="4730"/>
      <c r="G217" s="4730"/>
      <c r="H217" s="4730"/>
    </row>
    <row r="218" spans="1:8" ht="12.75" customHeight="1">
      <c r="C218" s="1385" t="s">
        <v>3954</v>
      </c>
      <c r="E218" s="4730" t="s">
        <v>3037</v>
      </c>
      <c r="F218" s="4730"/>
      <c r="G218" s="4730"/>
      <c r="H218" s="4730"/>
    </row>
    <row r="219" spans="1:8" ht="12.75" customHeight="1">
      <c r="C219" s="1386"/>
      <c r="D219" s="1384" t="s">
        <v>2917</v>
      </c>
      <c r="E219" s="4731" t="s">
        <v>3038</v>
      </c>
      <c r="F219" s="4731"/>
      <c r="G219" s="4731"/>
      <c r="H219" s="4731"/>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30" t="s">
        <v>2918</v>
      </c>
      <c r="F224" s="4730"/>
      <c r="G224" s="4730"/>
      <c r="H224" s="4730"/>
    </row>
    <row r="225" spans="1:8" ht="12.75" customHeight="1">
      <c r="C225" s="1385" t="s">
        <v>3954</v>
      </c>
      <c r="E225" s="4730" t="s">
        <v>3037</v>
      </c>
      <c r="F225" s="4730"/>
      <c r="G225" s="4730"/>
      <c r="H225" s="4730"/>
    </row>
    <row r="226" spans="1:8" ht="12.75" customHeight="1">
      <c r="C226" s="1386"/>
      <c r="D226" s="630" t="s">
        <v>2917</v>
      </c>
      <c r="E226" s="4730" t="s">
        <v>3038</v>
      </c>
      <c r="F226" s="4730"/>
      <c r="G226" s="4730"/>
      <c r="H226" s="4730"/>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30" t="s">
        <v>2918</v>
      </c>
      <c r="F229" s="4730"/>
      <c r="G229" s="4730"/>
      <c r="H229" s="4730"/>
    </row>
    <row r="230" spans="1:8" ht="12.75" customHeight="1">
      <c r="C230" s="1385" t="s">
        <v>3954</v>
      </c>
      <c r="E230" s="4730" t="s">
        <v>3037</v>
      </c>
      <c r="F230" s="4730"/>
      <c r="G230" s="4730"/>
      <c r="H230" s="4730"/>
    </row>
    <row r="231" spans="1:8" ht="12.75" customHeight="1">
      <c r="C231" s="1386"/>
      <c r="D231" s="1384" t="s">
        <v>2917</v>
      </c>
      <c r="E231" s="4731" t="s">
        <v>3038</v>
      </c>
      <c r="F231" s="4731"/>
      <c r="G231" s="4731"/>
      <c r="H231" s="4731"/>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30" t="s">
        <v>2918</v>
      </c>
      <c r="F234" s="4730"/>
      <c r="G234" s="4730"/>
      <c r="H234" s="4730"/>
    </row>
    <row r="235" spans="1:8" ht="12.75" customHeight="1">
      <c r="C235" s="1385" t="s">
        <v>3954</v>
      </c>
      <c r="E235" s="4730" t="s">
        <v>3037</v>
      </c>
      <c r="F235" s="4730"/>
      <c r="G235" s="4730"/>
      <c r="H235" s="4730"/>
    </row>
    <row r="236" spans="1:8" ht="12.75" customHeight="1">
      <c r="C236" s="1386"/>
      <c r="D236" s="1384" t="s">
        <v>2917</v>
      </c>
      <c r="E236" s="4731" t="s">
        <v>3038</v>
      </c>
      <c r="F236" s="4731"/>
      <c r="G236" s="4731"/>
      <c r="H236" s="4731"/>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30" t="s">
        <v>2918</v>
      </c>
      <c r="F241" s="4730"/>
      <c r="G241" s="4730"/>
      <c r="H241" s="4730"/>
    </row>
    <row r="242" spans="1:8" ht="12.75" customHeight="1">
      <c r="C242" s="1385" t="s">
        <v>3954</v>
      </c>
      <c r="E242" s="4730" t="s">
        <v>3037</v>
      </c>
      <c r="F242" s="4730"/>
      <c r="G242" s="4730"/>
      <c r="H242" s="4730"/>
    </row>
    <row r="243" spans="1:8" ht="12.75" customHeight="1">
      <c r="C243" s="1386"/>
      <c r="D243" s="630" t="s">
        <v>2917</v>
      </c>
      <c r="E243" s="4730" t="s">
        <v>3038</v>
      </c>
      <c r="F243" s="4730"/>
      <c r="G243" s="4730"/>
      <c r="H243" s="4730"/>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30" t="s">
        <v>2918</v>
      </c>
      <c r="F246" s="4730"/>
      <c r="G246" s="4730"/>
      <c r="H246" s="4730"/>
    </row>
    <row r="247" spans="1:8" ht="12.75" customHeight="1">
      <c r="C247" s="1385" t="s">
        <v>3954</v>
      </c>
      <c r="E247" s="4730" t="s">
        <v>3037</v>
      </c>
      <c r="F247" s="4730"/>
      <c r="G247" s="4730"/>
      <c r="H247" s="4730"/>
    </row>
    <row r="248" spans="1:8" ht="12.75" customHeight="1">
      <c r="C248" s="1386"/>
      <c r="D248" s="1384" t="s">
        <v>2917</v>
      </c>
      <c r="E248" s="4731" t="s">
        <v>3038</v>
      </c>
      <c r="F248" s="4731"/>
      <c r="G248" s="4731"/>
      <c r="H248" s="4731"/>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30" t="s">
        <v>2918</v>
      </c>
      <c r="F251" s="4730"/>
      <c r="G251" s="4730"/>
      <c r="H251" s="4730"/>
    </row>
    <row r="252" spans="1:8" ht="12.75" customHeight="1">
      <c r="C252" s="1385" t="s">
        <v>3954</v>
      </c>
      <c r="E252" s="4730" t="s">
        <v>3037</v>
      </c>
      <c r="F252" s="4730"/>
      <c r="G252" s="4730"/>
      <c r="H252" s="4730"/>
    </row>
    <row r="253" spans="1:8" ht="12.75" customHeight="1">
      <c r="C253" s="1386"/>
      <c r="D253" s="1384" t="s">
        <v>2917</v>
      </c>
      <c r="E253" s="4731" t="s">
        <v>3038</v>
      </c>
      <c r="F253" s="4731"/>
      <c r="G253" s="4731"/>
      <c r="H253" s="4731"/>
    </row>
    <row r="254" spans="1:8" ht="6" customHeight="1">
      <c r="D254" s="627"/>
      <c r="E254" s="1004"/>
      <c r="F254" s="1004"/>
      <c r="G254" s="1004"/>
      <c r="H254" s="1004"/>
    </row>
    <row r="255" spans="1:8">
      <c r="A255" s="608" t="s">
        <v>2913</v>
      </c>
      <c r="B255" s="625" t="str">
        <f>IF('Part V-Revenues &amp; Expenses'!$O$60=0,"",'Part V-Revenues &amp; Expenses'!$O$60)</f>
        <v/>
      </c>
      <c r="C255" s="608" t="s">
        <v>3952</v>
      </c>
      <c r="D255" s="626" t="s">
        <v>3953</v>
      </c>
    </row>
    <row r="256" spans="1:8" ht="1.9" customHeight="1"/>
    <row r="257" spans="1:11" ht="12.75" customHeight="1">
      <c r="C257" s="605" t="s">
        <v>2878</v>
      </c>
      <c r="D257" s="627" t="s">
        <v>1839</v>
      </c>
      <c r="E257" s="628"/>
      <c r="F257" s="4730" t="s">
        <v>2879</v>
      </c>
      <c r="G257" s="4730"/>
      <c r="H257" s="4730"/>
      <c r="K257" s="431" t="s">
        <v>233</v>
      </c>
    </row>
    <row r="258" spans="1:11" ht="12.75" customHeight="1">
      <c r="C258" s="629" t="s">
        <v>1273</v>
      </c>
      <c r="D258" s="627" t="s">
        <v>1841</v>
      </c>
      <c r="E258" s="4730" t="s">
        <v>2919</v>
      </c>
      <c r="F258" s="4730"/>
      <c r="G258" s="4730"/>
      <c r="H258" s="4730"/>
    </row>
    <row r="259" spans="1:11" ht="12.75" customHeight="1">
      <c r="E259" s="4730" t="s">
        <v>3037</v>
      </c>
      <c r="F259" s="4730"/>
      <c r="G259" s="4730"/>
      <c r="H259" s="4730"/>
    </row>
    <row r="260" spans="1:11" ht="12.75" customHeight="1">
      <c r="D260" s="630" t="s">
        <v>2917</v>
      </c>
      <c r="E260" s="4730" t="s">
        <v>3038</v>
      </c>
      <c r="F260" s="4730"/>
      <c r="G260" s="4730"/>
      <c r="H260" s="4730"/>
    </row>
    <row r="261" spans="1:11" ht="9" customHeight="1" thickBot="1"/>
    <row r="262" spans="1:11" ht="16.149999999999999" customHeight="1" thickBot="1">
      <c r="A262" s="4737">
        <v>50</v>
      </c>
      <c r="B262" s="4738"/>
      <c r="C262" s="1387" t="s">
        <v>974</v>
      </c>
    </row>
    <row r="263" spans="1:11" ht="9" customHeight="1">
      <c r="A263" s="600"/>
    </row>
    <row r="264" spans="1:11" ht="28.15" customHeight="1">
      <c r="A264" s="4730" t="s">
        <v>3955</v>
      </c>
      <c r="B264" s="4730"/>
      <c r="C264" s="4730"/>
      <c r="D264" s="4730"/>
      <c r="E264" s="4730"/>
      <c r="F264" s="4730"/>
      <c r="G264" s="4730"/>
      <c r="H264" s="4730"/>
    </row>
    <row r="265" spans="1:11" ht="9" customHeight="1">
      <c r="A265" s="600"/>
    </row>
    <row r="266" spans="1:11">
      <c r="A266" s="608" t="s">
        <v>2913</v>
      </c>
      <c r="B266" s="625" t="str">
        <f>IF('Part V-Revenues &amp; Expenses'!$K$59=0,"",'Part V-Revenues &amp; Expenses'!$K$59)</f>
        <v/>
      </c>
      <c r="C266" s="608" t="s">
        <v>3949</v>
      </c>
      <c r="D266" s="626" t="s">
        <v>3950</v>
      </c>
    </row>
    <row r="267" spans="1:11" ht="1.9" customHeight="1"/>
    <row r="268" spans="1:11" ht="12.75" customHeight="1">
      <c r="C268" s="605" t="s">
        <v>2878</v>
      </c>
      <c r="D268" s="627" t="s">
        <v>1839</v>
      </c>
      <c r="E268" s="628"/>
      <c r="F268" s="4730" t="s">
        <v>2879</v>
      </c>
      <c r="G268" s="4730"/>
      <c r="H268" s="4730"/>
    </row>
    <row r="269" spans="1:11" ht="12.75" customHeight="1">
      <c r="C269" s="629" t="s">
        <v>1273</v>
      </c>
      <c r="D269" s="627" t="s">
        <v>1841</v>
      </c>
      <c r="E269" s="4730" t="s">
        <v>2918</v>
      </c>
      <c r="F269" s="4730"/>
      <c r="G269" s="4730"/>
      <c r="H269" s="4730"/>
    </row>
    <row r="270" spans="1:11" ht="12.75" customHeight="1">
      <c r="C270" s="1385" t="s">
        <v>3954</v>
      </c>
      <c r="E270" s="4730" t="s">
        <v>3037</v>
      </c>
      <c r="F270" s="4730"/>
      <c r="G270" s="4730"/>
      <c r="H270" s="4730"/>
    </row>
    <row r="271" spans="1:11" ht="12.75" customHeight="1">
      <c r="C271" s="1386"/>
      <c r="D271" s="1384" t="s">
        <v>2917</v>
      </c>
      <c r="E271" s="4731" t="s">
        <v>3038</v>
      </c>
      <c r="F271" s="4731"/>
      <c r="G271" s="4731"/>
      <c r="H271" s="4731"/>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30" t="s">
        <v>2918</v>
      </c>
      <c r="F274" s="4730"/>
      <c r="G274" s="4730"/>
      <c r="H274" s="4730"/>
    </row>
    <row r="275" spans="1:8" ht="12.75" customHeight="1">
      <c r="C275" s="1385" t="s">
        <v>3954</v>
      </c>
      <c r="E275" s="4730" t="s">
        <v>3037</v>
      </c>
      <c r="F275" s="4730"/>
      <c r="G275" s="4730"/>
      <c r="H275" s="4730"/>
    </row>
    <row r="276" spans="1:8" ht="12.75" customHeight="1">
      <c r="C276" s="1386"/>
      <c r="D276" s="1384" t="s">
        <v>2917</v>
      </c>
      <c r="E276" s="4731" t="s">
        <v>3038</v>
      </c>
      <c r="F276" s="4731"/>
      <c r="G276" s="4731"/>
      <c r="H276" s="4731"/>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30" t="s">
        <v>2918</v>
      </c>
      <c r="F279" s="4730"/>
      <c r="G279" s="4730"/>
      <c r="H279" s="4730"/>
    </row>
    <row r="280" spans="1:8" ht="12.75" customHeight="1">
      <c r="C280" s="1385" t="s">
        <v>3954</v>
      </c>
      <c r="E280" s="4730" t="s">
        <v>3037</v>
      </c>
      <c r="F280" s="4730"/>
      <c r="G280" s="4730"/>
      <c r="H280" s="4730"/>
    </row>
    <row r="281" spans="1:8" ht="12.75" customHeight="1">
      <c r="C281" s="1386"/>
      <c r="D281" s="1384" t="s">
        <v>2917</v>
      </c>
      <c r="E281" s="4731" t="s">
        <v>3038</v>
      </c>
      <c r="F281" s="4731"/>
      <c r="G281" s="4731"/>
      <c r="H281" s="4731"/>
    </row>
    <row r="282" spans="1:8" ht="6" customHeight="1">
      <c r="D282" s="627"/>
      <c r="E282" s="1004"/>
      <c r="F282" s="1004"/>
      <c r="G282" s="1004"/>
      <c r="H282" s="1004"/>
    </row>
    <row r="283" spans="1:8">
      <c r="A283" s="608" t="s">
        <v>2913</v>
      </c>
      <c r="B283" s="625">
        <f>IF('Part V-Revenues &amp; Expenses'!$L$59=0,"",'Part V-Revenues &amp; Expenses'!$L$59)</f>
        <v>3</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30" t="s">
        <v>2918</v>
      </c>
      <c r="F286" s="4730"/>
      <c r="G286" s="4730"/>
      <c r="H286" s="4730"/>
    </row>
    <row r="287" spans="1:8" ht="12.75" customHeight="1">
      <c r="C287" s="1385" t="s">
        <v>3954</v>
      </c>
      <c r="E287" s="4730" t="s">
        <v>3037</v>
      </c>
      <c r="F287" s="4730"/>
      <c r="G287" s="4730"/>
      <c r="H287" s="4730"/>
    </row>
    <row r="288" spans="1:8" ht="12.75" customHeight="1">
      <c r="C288" s="1386"/>
      <c r="D288" s="630" t="s">
        <v>2917</v>
      </c>
      <c r="E288" s="4730" t="s">
        <v>3038</v>
      </c>
      <c r="F288" s="4730"/>
      <c r="G288" s="4730"/>
      <c r="H288" s="4730"/>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30" t="s">
        <v>2918</v>
      </c>
      <c r="F291" s="4730"/>
      <c r="G291" s="4730"/>
      <c r="H291" s="4730"/>
    </row>
    <row r="292" spans="1:8" ht="12.75" customHeight="1">
      <c r="C292" s="1385" t="s">
        <v>3954</v>
      </c>
      <c r="E292" s="4730" t="s">
        <v>3037</v>
      </c>
      <c r="F292" s="4730"/>
      <c r="G292" s="4730"/>
      <c r="H292" s="4730"/>
    </row>
    <row r="293" spans="1:8" ht="12.75" customHeight="1">
      <c r="C293" s="1386"/>
      <c r="D293" s="1384" t="s">
        <v>2917</v>
      </c>
      <c r="E293" s="4731" t="s">
        <v>3038</v>
      </c>
      <c r="F293" s="4731"/>
      <c r="G293" s="4731"/>
      <c r="H293" s="4731"/>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30" t="s">
        <v>2918</v>
      </c>
      <c r="F296" s="4730"/>
      <c r="G296" s="4730"/>
      <c r="H296" s="4730"/>
    </row>
    <row r="297" spans="1:8" ht="12.75" customHeight="1">
      <c r="C297" s="1385" t="s">
        <v>3954</v>
      </c>
      <c r="E297" s="4730" t="s">
        <v>3037</v>
      </c>
      <c r="F297" s="4730"/>
      <c r="G297" s="4730"/>
      <c r="H297" s="4730"/>
    </row>
    <row r="298" spans="1:8" ht="12.75" customHeight="1">
      <c r="C298" s="1386"/>
      <c r="D298" s="1384" t="s">
        <v>2917</v>
      </c>
      <c r="E298" s="4731" t="s">
        <v>3038</v>
      </c>
      <c r="F298" s="4731"/>
      <c r="G298" s="4731"/>
      <c r="H298" s="4731"/>
    </row>
    <row r="299" spans="1:8" ht="6" customHeight="1">
      <c r="D299" s="627"/>
      <c r="E299" s="1004"/>
      <c r="F299" s="1004"/>
      <c r="G299" s="1004"/>
      <c r="H299" s="1004"/>
    </row>
    <row r="300" spans="1:8">
      <c r="A300" s="608" t="s">
        <v>2913</v>
      </c>
      <c r="B300" s="625">
        <f>IF('Part V-Revenues &amp; Expenses'!$M$59=0,"",'Part V-Revenues &amp; Expenses'!$M$59)</f>
        <v>5</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30" t="s">
        <v>2918</v>
      </c>
      <c r="F303" s="4730"/>
      <c r="G303" s="4730"/>
      <c r="H303" s="4730"/>
    </row>
    <row r="304" spans="1:8" ht="12.75" customHeight="1">
      <c r="C304" s="1385" t="s">
        <v>3954</v>
      </c>
      <c r="E304" s="4730" t="s">
        <v>3037</v>
      </c>
      <c r="F304" s="4730"/>
      <c r="G304" s="4730"/>
      <c r="H304" s="4730"/>
    </row>
    <row r="305" spans="1:8" ht="12.75" customHeight="1">
      <c r="C305" s="1386"/>
      <c r="D305" s="630" t="s">
        <v>2917</v>
      </c>
      <c r="E305" s="4730" t="s">
        <v>3038</v>
      </c>
      <c r="F305" s="4730"/>
      <c r="G305" s="4730"/>
      <c r="H305" s="4730"/>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30" t="s">
        <v>2918</v>
      </c>
      <c r="F308" s="4730"/>
      <c r="G308" s="4730"/>
      <c r="H308" s="4730"/>
    </row>
    <row r="309" spans="1:8" ht="12.75" customHeight="1">
      <c r="C309" s="1385" t="s">
        <v>3954</v>
      </c>
      <c r="E309" s="4730" t="s">
        <v>3037</v>
      </c>
      <c r="F309" s="4730"/>
      <c r="G309" s="4730"/>
      <c r="H309" s="4730"/>
    </row>
    <row r="310" spans="1:8" ht="12.75" customHeight="1">
      <c r="C310" s="1386"/>
      <c r="D310" s="1384" t="s">
        <v>2917</v>
      </c>
      <c r="E310" s="4731" t="s">
        <v>3038</v>
      </c>
      <c r="F310" s="4731"/>
      <c r="G310" s="4731"/>
      <c r="H310" s="4731"/>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30" t="s">
        <v>2918</v>
      </c>
      <c r="F313" s="4730"/>
      <c r="G313" s="4730"/>
      <c r="H313" s="4730"/>
    </row>
    <row r="314" spans="1:8" ht="12.75" customHeight="1">
      <c r="C314" s="1385" t="s">
        <v>3954</v>
      </c>
      <c r="E314" s="4730" t="s">
        <v>3037</v>
      </c>
      <c r="F314" s="4730"/>
      <c r="G314" s="4730"/>
      <c r="H314" s="4730"/>
    </row>
    <row r="315" spans="1:8" ht="12.75" customHeight="1">
      <c r="C315" s="1386"/>
      <c r="D315" s="1384" t="s">
        <v>2917</v>
      </c>
      <c r="E315" s="4731" t="s">
        <v>3038</v>
      </c>
      <c r="F315" s="4731"/>
      <c r="G315" s="4731"/>
      <c r="H315" s="4731"/>
    </row>
    <row r="316" spans="1:8" ht="6" customHeight="1">
      <c r="D316" s="627"/>
      <c r="E316" s="1004"/>
      <c r="F316" s="1004"/>
      <c r="G316" s="1004"/>
      <c r="H316" s="1004"/>
    </row>
    <row r="317" spans="1:8">
      <c r="A317" s="608" t="s">
        <v>2913</v>
      </c>
      <c r="B317" s="625">
        <f>IF('Part V-Revenues &amp; Expenses'!$N$59=0,"",'Part V-Revenues &amp; Expenses'!$N$59)</f>
        <v>5</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30" t="s">
        <v>2918</v>
      </c>
      <c r="F320" s="4730"/>
      <c r="G320" s="4730"/>
      <c r="H320" s="4730"/>
    </row>
    <row r="321" spans="1:11" ht="12.75" customHeight="1">
      <c r="C321" s="1385" t="s">
        <v>3954</v>
      </c>
      <c r="E321" s="4730" t="s">
        <v>3037</v>
      </c>
      <c r="F321" s="4730"/>
      <c r="G321" s="4730"/>
      <c r="H321" s="4730"/>
    </row>
    <row r="322" spans="1:11" ht="12.75" customHeight="1">
      <c r="C322" s="1386"/>
      <c r="D322" s="630" t="s">
        <v>2917</v>
      </c>
      <c r="E322" s="4730" t="s">
        <v>3038</v>
      </c>
      <c r="F322" s="4730"/>
      <c r="G322" s="4730"/>
      <c r="H322" s="4730"/>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30" t="s">
        <v>2918</v>
      </c>
      <c r="F325" s="4730"/>
      <c r="G325" s="4730"/>
      <c r="H325" s="4730"/>
    </row>
    <row r="326" spans="1:11" ht="12.75" customHeight="1">
      <c r="C326" s="1385" t="s">
        <v>3954</v>
      </c>
      <c r="E326" s="4730" t="s">
        <v>3037</v>
      </c>
      <c r="F326" s="4730"/>
      <c r="G326" s="4730"/>
      <c r="H326" s="4730"/>
    </row>
    <row r="327" spans="1:11" ht="12.75" customHeight="1">
      <c r="C327" s="1386"/>
      <c r="D327" s="1384" t="s">
        <v>2917</v>
      </c>
      <c r="E327" s="4731" t="s">
        <v>3038</v>
      </c>
      <c r="F327" s="4731"/>
      <c r="G327" s="4731"/>
      <c r="H327" s="4731"/>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30" t="s">
        <v>2918</v>
      </c>
      <c r="F330" s="4730"/>
      <c r="G330" s="4730"/>
      <c r="H330" s="4730"/>
    </row>
    <row r="331" spans="1:11" ht="12.75" customHeight="1">
      <c r="C331" s="1385" t="s">
        <v>3954</v>
      </c>
      <c r="E331" s="4730" t="s">
        <v>3037</v>
      </c>
      <c r="F331" s="4730"/>
      <c r="G331" s="4730"/>
      <c r="H331" s="4730"/>
    </row>
    <row r="332" spans="1:11" ht="12.75" customHeight="1">
      <c r="C332" s="1386"/>
      <c r="D332" s="1384" t="s">
        <v>2917</v>
      </c>
      <c r="E332" s="4731" t="s">
        <v>3038</v>
      </c>
      <c r="F332" s="4731"/>
      <c r="G332" s="4731"/>
      <c r="H332" s="4731"/>
    </row>
    <row r="333" spans="1:11" ht="6" customHeight="1">
      <c r="D333" s="627"/>
      <c r="E333" s="1004"/>
      <c r="F333" s="1004"/>
      <c r="G333" s="1004"/>
      <c r="H333" s="1004"/>
    </row>
    <row r="334" spans="1:11">
      <c r="A334" s="608" t="s">
        <v>2913</v>
      </c>
      <c r="B334" s="625" t="str">
        <f>IF('Part V-Revenues &amp; Expenses'!$O$59=0,"",'Part V-Revenues &amp; Expenses'!$O$59)</f>
        <v/>
      </c>
      <c r="C334" s="608" t="s">
        <v>3952</v>
      </c>
      <c r="D334" s="626" t="s">
        <v>3953</v>
      </c>
    </row>
    <row r="335" spans="1:11" ht="1.9" customHeight="1"/>
    <row r="336" spans="1:11" ht="12.75" customHeight="1">
      <c r="C336" s="605" t="s">
        <v>2878</v>
      </c>
      <c r="D336" s="627" t="s">
        <v>1839</v>
      </c>
      <c r="E336" s="628"/>
      <c r="F336" s="4730" t="s">
        <v>2879</v>
      </c>
      <c r="G336" s="4730"/>
      <c r="H336" s="4730"/>
      <c r="K336" s="431" t="s">
        <v>233</v>
      </c>
    </row>
    <row r="337" spans="1:8" ht="12.75" customHeight="1">
      <c r="C337" s="629" t="s">
        <v>1273</v>
      </c>
      <c r="D337" s="627" t="s">
        <v>1841</v>
      </c>
      <c r="E337" s="4730" t="s">
        <v>2919</v>
      </c>
      <c r="F337" s="4730"/>
      <c r="G337" s="4730"/>
      <c r="H337" s="4730"/>
    </row>
    <row r="338" spans="1:8" ht="12.75" customHeight="1">
      <c r="E338" s="4730" t="s">
        <v>3037</v>
      </c>
      <c r="F338" s="4730"/>
      <c r="G338" s="4730"/>
      <c r="H338" s="4730"/>
    </row>
    <row r="339" spans="1:8" ht="12.75" customHeight="1">
      <c r="D339" s="630" t="s">
        <v>2917</v>
      </c>
      <c r="E339" s="4730" t="s">
        <v>3038</v>
      </c>
      <c r="F339" s="4730"/>
      <c r="G339" s="4730"/>
      <c r="H339" s="4730"/>
    </row>
    <row r="340" spans="1:8" ht="9" customHeight="1"/>
    <row r="341" spans="1:8" ht="7.5" customHeight="1" thickBot="1">
      <c r="E341" s="4730"/>
      <c r="F341" s="4730"/>
      <c r="G341" s="4730"/>
      <c r="H341" s="4730"/>
    </row>
    <row r="342" spans="1:8" ht="16.149999999999999" customHeight="1" thickBot="1">
      <c r="A342" s="4737">
        <v>60</v>
      </c>
      <c r="B342" s="4738"/>
      <c r="C342" s="1387" t="s">
        <v>974</v>
      </c>
    </row>
    <row r="343" spans="1:8" ht="9" customHeight="1">
      <c r="A343" s="600"/>
    </row>
    <row r="344" spans="1:8" ht="28.15" customHeight="1">
      <c r="A344" s="4730" t="s">
        <v>3959</v>
      </c>
      <c r="B344" s="4730"/>
      <c r="C344" s="4730"/>
      <c r="D344" s="4730"/>
      <c r="E344" s="4730"/>
      <c r="F344" s="4730"/>
      <c r="G344" s="4730"/>
      <c r="H344" s="4730"/>
    </row>
    <row r="345" spans="1:8" ht="9" customHeight="1">
      <c r="A345" s="600"/>
    </row>
    <row r="346" spans="1:8">
      <c r="A346" s="608" t="s">
        <v>2913</v>
      </c>
      <c r="B346" s="625" t="str">
        <f>IF('Part V-Revenues &amp; Expenses'!$K$58=0,"",'Part V-Revenues &amp; Expenses'!$K$58)</f>
        <v/>
      </c>
      <c r="C346" s="608" t="s">
        <v>3949</v>
      </c>
      <c r="D346" s="626" t="s">
        <v>3950</v>
      </c>
    </row>
    <row r="347" spans="1:8" ht="1.9" customHeight="1"/>
    <row r="348" spans="1:8" ht="12.75" customHeight="1">
      <c r="C348" s="605" t="s">
        <v>2878</v>
      </c>
      <c r="D348" s="627" t="s">
        <v>1839</v>
      </c>
      <c r="E348" s="628"/>
      <c r="F348" s="4730" t="s">
        <v>2879</v>
      </c>
      <c r="G348" s="4730"/>
      <c r="H348" s="4730"/>
    </row>
    <row r="349" spans="1:8" ht="12.75" customHeight="1">
      <c r="C349" s="629" t="s">
        <v>1273</v>
      </c>
      <c r="D349" s="627" t="s">
        <v>1841</v>
      </c>
      <c r="E349" s="4730" t="s">
        <v>2918</v>
      </c>
      <c r="F349" s="4730"/>
      <c r="G349" s="4730"/>
      <c r="H349" s="4730"/>
    </row>
    <row r="350" spans="1:8" ht="12.75" customHeight="1">
      <c r="C350" s="1385" t="s">
        <v>3954</v>
      </c>
      <c r="E350" s="4730" t="s">
        <v>3037</v>
      </c>
      <c r="F350" s="4730"/>
      <c r="G350" s="4730"/>
      <c r="H350" s="4730"/>
    </row>
    <row r="351" spans="1:8" ht="12.75" customHeight="1">
      <c r="C351" s="1386"/>
      <c r="D351" s="1384" t="s">
        <v>2917</v>
      </c>
      <c r="E351" s="4731" t="s">
        <v>3038</v>
      </c>
      <c r="F351" s="4731"/>
      <c r="G351" s="4731"/>
      <c r="H351" s="4731"/>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30" t="s">
        <v>2918</v>
      </c>
      <c r="F354" s="4730"/>
      <c r="G354" s="4730"/>
      <c r="H354" s="4730"/>
    </row>
    <row r="355" spans="1:8" ht="12.75" customHeight="1">
      <c r="C355" s="1385" t="s">
        <v>3954</v>
      </c>
      <c r="E355" s="4730" t="s">
        <v>3037</v>
      </c>
      <c r="F355" s="4730"/>
      <c r="G355" s="4730"/>
      <c r="H355" s="4730"/>
    </row>
    <row r="356" spans="1:8" ht="12.75" customHeight="1">
      <c r="C356" s="1386"/>
      <c r="D356" s="1384" t="s">
        <v>2917</v>
      </c>
      <c r="E356" s="4731" t="s">
        <v>3038</v>
      </c>
      <c r="F356" s="4731"/>
      <c r="G356" s="4731"/>
      <c r="H356" s="4731"/>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30" t="s">
        <v>2918</v>
      </c>
      <c r="F359" s="4730"/>
      <c r="G359" s="4730"/>
      <c r="H359" s="4730"/>
    </row>
    <row r="360" spans="1:8" ht="12.75" customHeight="1">
      <c r="C360" s="1385" t="s">
        <v>3954</v>
      </c>
      <c r="E360" s="4730" t="s">
        <v>3037</v>
      </c>
      <c r="F360" s="4730"/>
      <c r="G360" s="4730"/>
      <c r="H360" s="4730"/>
    </row>
    <row r="361" spans="1:8" ht="12.75" customHeight="1">
      <c r="C361" s="1386"/>
      <c r="D361" s="1384" t="s">
        <v>2917</v>
      </c>
      <c r="E361" s="4731" t="s">
        <v>3038</v>
      </c>
      <c r="F361" s="4731"/>
      <c r="G361" s="4731"/>
      <c r="H361" s="4731"/>
    </row>
    <row r="362" spans="1:8" ht="6" customHeight="1">
      <c r="D362" s="627"/>
      <c r="E362" s="1004"/>
      <c r="F362" s="1004"/>
      <c r="G362" s="1004"/>
      <c r="H362" s="1004"/>
    </row>
    <row r="363" spans="1:8">
      <c r="A363" s="608" t="s">
        <v>2913</v>
      </c>
      <c r="B363" s="625">
        <f>IF('Part V-Revenues &amp; Expenses'!$L$58=0,"",'Part V-Revenues &amp; Expenses'!$L$58)</f>
        <v>9</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30" t="s">
        <v>2918</v>
      </c>
      <c r="F366" s="4730"/>
      <c r="G366" s="4730"/>
      <c r="H366" s="4730"/>
    </row>
    <row r="367" spans="1:8" ht="12.75" customHeight="1">
      <c r="C367" s="1385" t="s">
        <v>3954</v>
      </c>
      <c r="E367" s="4730" t="s">
        <v>3037</v>
      </c>
      <c r="F367" s="4730"/>
      <c r="G367" s="4730"/>
      <c r="H367" s="4730"/>
    </row>
    <row r="368" spans="1:8" ht="12.75" customHeight="1">
      <c r="C368" s="1386"/>
      <c r="D368" s="630" t="s">
        <v>2917</v>
      </c>
      <c r="E368" s="4730" t="s">
        <v>3038</v>
      </c>
      <c r="F368" s="4730"/>
      <c r="G368" s="4730"/>
      <c r="H368" s="4730"/>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30" t="s">
        <v>2918</v>
      </c>
      <c r="F371" s="4730"/>
      <c r="G371" s="4730"/>
      <c r="H371" s="4730"/>
    </row>
    <row r="372" spans="1:8" ht="12.75" customHeight="1">
      <c r="C372" s="1385" t="s">
        <v>3954</v>
      </c>
      <c r="E372" s="4730" t="s">
        <v>3037</v>
      </c>
      <c r="F372" s="4730"/>
      <c r="G372" s="4730"/>
      <c r="H372" s="4730"/>
    </row>
    <row r="373" spans="1:8" ht="12.75" customHeight="1">
      <c r="C373" s="1386"/>
      <c r="D373" s="1384" t="s">
        <v>2917</v>
      </c>
      <c r="E373" s="4731" t="s">
        <v>3038</v>
      </c>
      <c r="F373" s="4731"/>
      <c r="G373" s="4731"/>
      <c r="H373" s="4731"/>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30" t="s">
        <v>2918</v>
      </c>
      <c r="F376" s="4730"/>
      <c r="G376" s="4730"/>
      <c r="H376" s="4730"/>
    </row>
    <row r="377" spans="1:8" ht="12.75" customHeight="1">
      <c r="C377" s="1385" t="s">
        <v>3954</v>
      </c>
      <c r="E377" s="4730" t="s">
        <v>3037</v>
      </c>
      <c r="F377" s="4730"/>
      <c r="G377" s="4730"/>
      <c r="H377" s="4730"/>
    </row>
    <row r="378" spans="1:8" ht="12.75" customHeight="1">
      <c r="C378" s="1386"/>
      <c r="D378" s="1384" t="s">
        <v>2917</v>
      </c>
      <c r="E378" s="4731" t="s">
        <v>3038</v>
      </c>
      <c r="F378" s="4731"/>
      <c r="G378" s="4731"/>
      <c r="H378" s="4731"/>
    </row>
    <row r="379" spans="1:8" ht="6" customHeight="1">
      <c r="D379" s="627"/>
      <c r="E379" s="1004"/>
      <c r="F379" s="1004"/>
      <c r="G379" s="1004"/>
      <c r="H379" s="1004"/>
    </row>
    <row r="380" spans="1:8">
      <c r="A380" s="608" t="s">
        <v>2913</v>
      </c>
      <c r="B380" s="625">
        <f>IF('Part V-Revenues &amp; Expenses'!$M$58=0,"",'Part V-Revenues &amp; Expenses'!$M$58)</f>
        <v>19</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30" t="s">
        <v>2918</v>
      </c>
      <c r="F383" s="4730"/>
      <c r="G383" s="4730"/>
      <c r="H383" s="4730"/>
    </row>
    <row r="384" spans="1:8" ht="12.75" customHeight="1">
      <c r="C384" s="1385" t="s">
        <v>3954</v>
      </c>
      <c r="E384" s="4730" t="s">
        <v>3037</v>
      </c>
      <c r="F384" s="4730"/>
      <c r="G384" s="4730"/>
      <c r="H384" s="4730"/>
    </row>
    <row r="385" spans="1:8" ht="12.75" customHeight="1">
      <c r="C385" s="1386"/>
      <c r="D385" s="630" t="s">
        <v>2917</v>
      </c>
      <c r="E385" s="4730" t="s">
        <v>3038</v>
      </c>
      <c r="F385" s="4730"/>
      <c r="G385" s="4730"/>
      <c r="H385" s="4730"/>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30" t="s">
        <v>2918</v>
      </c>
      <c r="F388" s="4730"/>
      <c r="G388" s="4730"/>
      <c r="H388" s="4730"/>
    </row>
    <row r="389" spans="1:8" ht="12.75" customHeight="1">
      <c r="C389" s="1385" t="s">
        <v>3954</v>
      </c>
      <c r="E389" s="4730" t="s">
        <v>3037</v>
      </c>
      <c r="F389" s="4730"/>
      <c r="G389" s="4730"/>
      <c r="H389" s="4730"/>
    </row>
    <row r="390" spans="1:8" ht="12.75" customHeight="1">
      <c r="C390" s="1386"/>
      <c r="D390" s="1384" t="s">
        <v>2917</v>
      </c>
      <c r="E390" s="4731" t="s">
        <v>3038</v>
      </c>
      <c r="F390" s="4731"/>
      <c r="G390" s="4731"/>
      <c r="H390" s="4731"/>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30" t="s">
        <v>2918</v>
      </c>
      <c r="F393" s="4730"/>
      <c r="G393" s="4730"/>
      <c r="H393" s="4730"/>
    </row>
    <row r="394" spans="1:8" ht="12.75" customHeight="1">
      <c r="C394" s="1385" t="s">
        <v>3954</v>
      </c>
      <c r="E394" s="4730" t="s">
        <v>3037</v>
      </c>
      <c r="F394" s="4730"/>
      <c r="G394" s="4730"/>
      <c r="H394" s="4730"/>
    </row>
    <row r="395" spans="1:8" ht="12.75" customHeight="1">
      <c r="C395" s="1386"/>
      <c r="D395" s="1384" t="s">
        <v>2917</v>
      </c>
      <c r="E395" s="4731" t="s">
        <v>3038</v>
      </c>
      <c r="F395" s="4731"/>
      <c r="G395" s="4731"/>
      <c r="H395" s="4731"/>
    </row>
    <row r="396" spans="1:8" ht="6" customHeight="1">
      <c r="D396" s="627"/>
      <c r="E396" s="1004"/>
      <c r="F396" s="1004"/>
      <c r="G396" s="1004"/>
      <c r="H396" s="1004"/>
    </row>
    <row r="397" spans="1:8">
      <c r="A397" s="608" t="s">
        <v>2913</v>
      </c>
      <c r="B397" s="625">
        <f>IF('Part V-Revenues &amp; Expenses'!$N$58=0,"",'Part V-Revenues &amp; Expenses'!$N$58)</f>
        <v>19</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30" t="s">
        <v>2918</v>
      </c>
      <c r="F400" s="4730"/>
      <c r="G400" s="4730"/>
      <c r="H400" s="4730"/>
    </row>
    <row r="401" spans="1:11" ht="12.75" customHeight="1">
      <c r="C401" s="1385" t="s">
        <v>3954</v>
      </c>
      <c r="E401" s="4730" t="s">
        <v>3037</v>
      </c>
      <c r="F401" s="4730"/>
      <c r="G401" s="4730"/>
      <c r="H401" s="4730"/>
    </row>
    <row r="402" spans="1:11" ht="12.75" customHeight="1">
      <c r="C402" s="1386"/>
      <c r="D402" s="630" t="s">
        <v>2917</v>
      </c>
      <c r="E402" s="4730" t="s">
        <v>3038</v>
      </c>
      <c r="F402" s="4730"/>
      <c r="G402" s="4730"/>
      <c r="H402" s="4730"/>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30" t="s">
        <v>2918</v>
      </c>
      <c r="F405" s="4730"/>
      <c r="G405" s="4730"/>
      <c r="H405" s="4730"/>
    </row>
    <row r="406" spans="1:11" ht="12.75" customHeight="1">
      <c r="C406" s="1385" t="s">
        <v>3954</v>
      </c>
      <c r="E406" s="4730" t="s">
        <v>3037</v>
      </c>
      <c r="F406" s="4730"/>
      <c r="G406" s="4730"/>
      <c r="H406" s="4730"/>
    </row>
    <row r="407" spans="1:11" ht="12.75" customHeight="1">
      <c r="C407" s="1386"/>
      <c r="D407" s="1384" t="s">
        <v>2917</v>
      </c>
      <c r="E407" s="4731" t="s">
        <v>3038</v>
      </c>
      <c r="F407" s="4731"/>
      <c r="G407" s="4731"/>
      <c r="H407" s="4731"/>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30" t="s">
        <v>2918</v>
      </c>
      <c r="F410" s="4730"/>
      <c r="G410" s="4730"/>
      <c r="H410" s="4730"/>
    </row>
    <row r="411" spans="1:11" ht="12.75" customHeight="1">
      <c r="C411" s="1385" t="s">
        <v>3954</v>
      </c>
      <c r="E411" s="4730" t="s">
        <v>3037</v>
      </c>
      <c r="F411" s="4730"/>
      <c r="G411" s="4730"/>
      <c r="H411" s="4730"/>
    </row>
    <row r="412" spans="1:11" ht="12.75" customHeight="1">
      <c r="C412" s="1386"/>
      <c r="D412" s="1384" t="s">
        <v>2917</v>
      </c>
      <c r="E412" s="4731" t="s">
        <v>3038</v>
      </c>
      <c r="F412" s="4731"/>
      <c r="G412" s="4731"/>
      <c r="H412" s="4731"/>
    </row>
    <row r="413" spans="1:11" ht="6" customHeight="1">
      <c r="D413" s="627"/>
      <c r="E413" s="1004"/>
      <c r="F413" s="1004"/>
      <c r="G413" s="1004"/>
      <c r="H413" s="1004"/>
    </row>
    <row r="414" spans="1:11">
      <c r="A414" s="608" t="s">
        <v>2913</v>
      </c>
      <c r="B414" s="625" t="str">
        <f>IF('Part V-Revenues &amp; Expenses'!$O$58=0,"",'Part V-Revenues &amp; Expenses'!$O$58)</f>
        <v/>
      </c>
      <c r="C414" s="608" t="s">
        <v>3952</v>
      </c>
      <c r="D414" s="626" t="s">
        <v>3953</v>
      </c>
    </row>
    <row r="415" spans="1:11" ht="1.9" customHeight="1"/>
    <row r="416" spans="1:11" ht="12.75" customHeight="1">
      <c r="C416" s="605" t="s">
        <v>2878</v>
      </c>
      <c r="D416" s="627" t="s">
        <v>1839</v>
      </c>
      <c r="E416" s="628"/>
      <c r="F416" s="4730" t="s">
        <v>2879</v>
      </c>
      <c r="G416" s="4730"/>
      <c r="H416" s="4730"/>
      <c r="K416" s="431" t="s">
        <v>233</v>
      </c>
    </row>
    <row r="417" spans="1:8" ht="12.75" customHeight="1">
      <c r="C417" s="629" t="s">
        <v>1273</v>
      </c>
      <c r="D417" s="627" t="s">
        <v>1841</v>
      </c>
      <c r="E417" s="4730" t="s">
        <v>2919</v>
      </c>
      <c r="F417" s="4730"/>
      <c r="G417" s="4730"/>
      <c r="H417" s="4730"/>
    </row>
    <row r="418" spans="1:8" ht="12.75" customHeight="1">
      <c r="E418" s="4730" t="s">
        <v>3037</v>
      </c>
      <c r="F418" s="4730"/>
      <c r="G418" s="4730"/>
      <c r="H418" s="4730"/>
    </row>
    <row r="419" spans="1:8" ht="12.75" customHeight="1">
      <c r="D419" s="630" t="s">
        <v>2917</v>
      </c>
      <c r="E419" s="4730" t="s">
        <v>3038</v>
      </c>
      <c r="F419" s="4730"/>
      <c r="G419" s="4730"/>
      <c r="H419" s="4730"/>
    </row>
    <row r="420" spans="1:8" ht="9" customHeight="1" thickBot="1"/>
    <row r="421" spans="1:8" ht="16.149999999999999" customHeight="1" thickBot="1">
      <c r="A421" s="4737">
        <v>70</v>
      </c>
      <c r="B421" s="4738"/>
      <c r="C421" s="1387" t="s">
        <v>974</v>
      </c>
    </row>
    <row r="422" spans="1:8" ht="9" customHeight="1">
      <c r="A422" s="600"/>
    </row>
    <row r="423" spans="1:8" ht="28.15" customHeight="1">
      <c r="A423" s="4730" t="s">
        <v>3960</v>
      </c>
      <c r="B423" s="4730"/>
      <c r="C423" s="4730"/>
      <c r="D423" s="4730"/>
      <c r="E423" s="4730"/>
      <c r="F423" s="4730"/>
      <c r="G423" s="4730"/>
      <c r="H423" s="4730"/>
    </row>
    <row r="424" spans="1:8" ht="9" customHeight="1">
      <c r="A424" s="600"/>
    </row>
    <row r="425" spans="1:8">
      <c r="A425" s="608" t="s">
        <v>2913</v>
      </c>
      <c r="B425" s="625" t="str">
        <f>IF('Part V-Revenues &amp; Expenses'!$K$57=0,"",'Part V-Revenues &amp; Expenses'!$K$57)</f>
        <v/>
      </c>
      <c r="C425" s="608" t="s">
        <v>3949</v>
      </c>
      <c r="D425" s="626" t="s">
        <v>3950</v>
      </c>
    </row>
    <row r="426" spans="1:8" ht="1.9" customHeight="1"/>
    <row r="427" spans="1:8" ht="12.75" customHeight="1">
      <c r="C427" s="605" t="s">
        <v>2878</v>
      </c>
      <c r="D427" s="627" t="s">
        <v>1839</v>
      </c>
      <c r="E427" s="628"/>
      <c r="F427" s="4730" t="s">
        <v>2879</v>
      </c>
      <c r="G427" s="4730"/>
      <c r="H427" s="4730"/>
    </row>
    <row r="428" spans="1:8" ht="12.75" customHeight="1">
      <c r="C428" s="629" t="s">
        <v>1273</v>
      </c>
      <c r="D428" s="627" t="s">
        <v>1841</v>
      </c>
      <c r="E428" s="4730" t="s">
        <v>2918</v>
      </c>
      <c r="F428" s="4730"/>
      <c r="G428" s="4730"/>
      <c r="H428" s="4730"/>
    </row>
    <row r="429" spans="1:8" ht="12.75" customHeight="1">
      <c r="C429" s="1385" t="s">
        <v>3954</v>
      </c>
      <c r="E429" s="4730" t="s">
        <v>3037</v>
      </c>
      <c r="F429" s="4730"/>
      <c r="G429" s="4730"/>
      <c r="H429" s="4730"/>
    </row>
    <row r="430" spans="1:8" ht="12.75" customHeight="1">
      <c r="C430" s="1386"/>
      <c r="D430" s="1384" t="s">
        <v>2917</v>
      </c>
      <c r="E430" s="4731" t="s">
        <v>3038</v>
      </c>
      <c r="F430" s="4731"/>
      <c r="G430" s="4731"/>
      <c r="H430" s="4731"/>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30" t="s">
        <v>2918</v>
      </c>
      <c r="F433" s="4730"/>
      <c r="G433" s="4730"/>
      <c r="H433" s="4730"/>
    </row>
    <row r="434" spans="1:8" ht="12.75" customHeight="1">
      <c r="C434" s="1385" t="s">
        <v>3954</v>
      </c>
      <c r="E434" s="4730" t="s">
        <v>3037</v>
      </c>
      <c r="F434" s="4730"/>
      <c r="G434" s="4730"/>
      <c r="H434" s="4730"/>
    </row>
    <row r="435" spans="1:8" ht="12.75" customHeight="1">
      <c r="C435" s="1386"/>
      <c r="D435" s="1384" t="s">
        <v>2917</v>
      </c>
      <c r="E435" s="4731" t="s">
        <v>3038</v>
      </c>
      <c r="F435" s="4731"/>
      <c r="G435" s="4731"/>
      <c r="H435" s="4731"/>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30" t="s">
        <v>2918</v>
      </c>
      <c r="F438" s="4730"/>
      <c r="G438" s="4730"/>
      <c r="H438" s="4730"/>
    </row>
    <row r="439" spans="1:8" ht="12.75" customHeight="1">
      <c r="C439" s="1385" t="s">
        <v>3954</v>
      </c>
      <c r="E439" s="4730" t="s">
        <v>3037</v>
      </c>
      <c r="F439" s="4730"/>
      <c r="G439" s="4730"/>
      <c r="H439" s="4730"/>
    </row>
    <row r="440" spans="1:8" ht="12.75" customHeight="1">
      <c r="C440" s="1386"/>
      <c r="D440" s="1384" t="s">
        <v>2917</v>
      </c>
      <c r="E440" s="4731" t="s">
        <v>3038</v>
      </c>
      <c r="F440" s="4731"/>
      <c r="G440" s="4731"/>
      <c r="H440" s="4731"/>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30" t="s">
        <v>2918</v>
      </c>
      <c r="F445" s="4730"/>
      <c r="G445" s="4730"/>
      <c r="H445" s="4730"/>
    </row>
    <row r="446" spans="1:8" ht="12.75" customHeight="1">
      <c r="C446" s="1385" t="s">
        <v>3954</v>
      </c>
      <c r="E446" s="4730" t="s">
        <v>3037</v>
      </c>
      <c r="F446" s="4730"/>
      <c r="G446" s="4730"/>
      <c r="H446" s="4730"/>
    </row>
    <row r="447" spans="1:8" ht="12.75" customHeight="1">
      <c r="C447" s="1386"/>
      <c r="D447" s="630" t="s">
        <v>2917</v>
      </c>
      <c r="E447" s="4730" t="s">
        <v>3038</v>
      </c>
      <c r="F447" s="4730"/>
      <c r="G447" s="4730"/>
      <c r="H447" s="4730"/>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30" t="s">
        <v>2918</v>
      </c>
      <c r="F450" s="4730"/>
      <c r="G450" s="4730"/>
      <c r="H450" s="4730"/>
    </row>
    <row r="451" spans="1:8" ht="12.75" customHeight="1">
      <c r="C451" s="1385" t="s">
        <v>3954</v>
      </c>
      <c r="E451" s="4730" t="s">
        <v>3037</v>
      </c>
      <c r="F451" s="4730"/>
      <c r="G451" s="4730"/>
      <c r="H451" s="4730"/>
    </row>
    <row r="452" spans="1:8" ht="12.75" customHeight="1">
      <c r="C452" s="1386"/>
      <c r="D452" s="1384" t="s">
        <v>2917</v>
      </c>
      <c r="E452" s="4731" t="s">
        <v>3038</v>
      </c>
      <c r="F452" s="4731"/>
      <c r="G452" s="4731"/>
      <c r="H452" s="4731"/>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30" t="s">
        <v>2918</v>
      </c>
      <c r="F455" s="4730"/>
      <c r="G455" s="4730"/>
      <c r="H455" s="4730"/>
    </row>
    <row r="456" spans="1:8" ht="12.75" customHeight="1">
      <c r="C456" s="1385" t="s">
        <v>3954</v>
      </c>
      <c r="E456" s="4730" t="s">
        <v>3037</v>
      </c>
      <c r="F456" s="4730"/>
      <c r="G456" s="4730"/>
      <c r="H456" s="4730"/>
    </row>
    <row r="457" spans="1:8" ht="12.75" customHeight="1">
      <c r="C457" s="1386"/>
      <c r="D457" s="1384" t="s">
        <v>2917</v>
      </c>
      <c r="E457" s="4731" t="s">
        <v>3038</v>
      </c>
      <c r="F457" s="4731"/>
      <c r="G457" s="4731"/>
      <c r="H457" s="4731"/>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30" t="s">
        <v>2918</v>
      </c>
      <c r="F462" s="4730"/>
      <c r="G462" s="4730"/>
      <c r="H462" s="4730"/>
    </row>
    <row r="463" spans="1:8" ht="12.75" customHeight="1">
      <c r="C463" s="1385" t="s">
        <v>3954</v>
      </c>
      <c r="E463" s="4730" t="s">
        <v>3037</v>
      </c>
      <c r="F463" s="4730"/>
      <c r="G463" s="4730"/>
      <c r="H463" s="4730"/>
    </row>
    <row r="464" spans="1:8" ht="12.75" customHeight="1">
      <c r="C464" s="1386"/>
      <c r="D464" s="630" t="s">
        <v>2917</v>
      </c>
      <c r="E464" s="4730" t="s">
        <v>3038</v>
      </c>
      <c r="F464" s="4730"/>
      <c r="G464" s="4730"/>
      <c r="H464" s="4730"/>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30" t="s">
        <v>2918</v>
      </c>
      <c r="F467" s="4730"/>
      <c r="G467" s="4730"/>
      <c r="H467" s="4730"/>
    </row>
    <row r="468" spans="1:8" ht="12.75" customHeight="1">
      <c r="C468" s="1385" t="s">
        <v>3954</v>
      </c>
      <c r="E468" s="4730" t="s">
        <v>3037</v>
      </c>
      <c r="F468" s="4730"/>
      <c r="G468" s="4730"/>
      <c r="H468" s="4730"/>
    </row>
    <row r="469" spans="1:8" ht="12.75" customHeight="1">
      <c r="C469" s="1386"/>
      <c r="D469" s="1384" t="s">
        <v>2917</v>
      </c>
      <c r="E469" s="4731" t="s">
        <v>3038</v>
      </c>
      <c r="F469" s="4731"/>
      <c r="G469" s="4731"/>
      <c r="H469" s="4731"/>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30" t="s">
        <v>2918</v>
      </c>
      <c r="F472" s="4730"/>
      <c r="G472" s="4730"/>
      <c r="H472" s="4730"/>
    </row>
    <row r="473" spans="1:8" ht="12.75" customHeight="1">
      <c r="C473" s="1385" t="s">
        <v>3954</v>
      </c>
      <c r="E473" s="4730" t="s">
        <v>3037</v>
      </c>
      <c r="F473" s="4730"/>
      <c r="G473" s="4730"/>
      <c r="H473" s="4730"/>
    </row>
    <row r="474" spans="1:8" ht="12.75" customHeight="1">
      <c r="C474" s="1386"/>
      <c r="D474" s="1384" t="s">
        <v>2917</v>
      </c>
      <c r="E474" s="4731" t="s">
        <v>3038</v>
      </c>
      <c r="F474" s="4731"/>
      <c r="G474" s="4731"/>
      <c r="H474" s="4731"/>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30" t="s">
        <v>2918</v>
      </c>
      <c r="F479" s="4730"/>
      <c r="G479" s="4730"/>
      <c r="H479" s="4730"/>
    </row>
    <row r="480" spans="1:8" ht="12.75" customHeight="1">
      <c r="C480" s="1385" t="s">
        <v>3954</v>
      </c>
      <c r="E480" s="4730" t="s">
        <v>3037</v>
      </c>
      <c r="F480" s="4730"/>
      <c r="G480" s="4730"/>
      <c r="H480" s="4730"/>
    </row>
    <row r="481" spans="1:11" ht="12.75" customHeight="1">
      <c r="C481" s="1386"/>
      <c r="D481" s="630" t="s">
        <v>2917</v>
      </c>
      <c r="E481" s="4730" t="s">
        <v>3038</v>
      </c>
      <c r="F481" s="4730"/>
      <c r="G481" s="4730"/>
      <c r="H481" s="4730"/>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30" t="s">
        <v>2918</v>
      </c>
      <c r="F484" s="4730"/>
      <c r="G484" s="4730"/>
      <c r="H484" s="4730"/>
    </row>
    <row r="485" spans="1:11" ht="12.75" customHeight="1">
      <c r="C485" s="1385" t="s">
        <v>3954</v>
      </c>
      <c r="E485" s="4730" t="s">
        <v>3037</v>
      </c>
      <c r="F485" s="4730"/>
      <c r="G485" s="4730"/>
      <c r="H485" s="4730"/>
    </row>
    <row r="486" spans="1:11" ht="12.75" customHeight="1">
      <c r="C486" s="1386"/>
      <c r="D486" s="1384" t="s">
        <v>2917</v>
      </c>
      <c r="E486" s="4731" t="s">
        <v>3038</v>
      </c>
      <c r="F486" s="4731"/>
      <c r="G486" s="4731"/>
      <c r="H486" s="4731"/>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30" t="s">
        <v>2918</v>
      </c>
      <c r="F489" s="4730"/>
      <c r="G489" s="4730"/>
      <c r="H489" s="4730"/>
    </row>
    <row r="490" spans="1:11" ht="12.75" customHeight="1">
      <c r="C490" s="1385" t="s">
        <v>3954</v>
      </c>
      <c r="E490" s="4730" t="s">
        <v>3037</v>
      </c>
      <c r="F490" s="4730"/>
      <c r="G490" s="4730"/>
      <c r="H490" s="4730"/>
    </row>
    <row r="491" spans="1:11" ht="12.75" customHeight="1">
      <c r="C491" s="1386"/>
      <c r="D491" s="1384" t="s">
        <v>2917</v>
      </c>
      <c r="E491" s="4731" t="s">
        <v>3038</v>
      </c>
      <c r="F491" s="4731"/>
      <c r="G491" s="4731"/>
      <c r="H491" s="4731"/>
    </row>
    <row r="492" spans="1:11" ht="6" customHeight="1">
      <c r="D492" s="627"/>
      <c r="E492" s="1004"/>
      <c r="F492" s="1004"/>
      <c r="G492" s="1004"/>
      <c r="H492" s="1004"/>
    </row>
    <row r="493" spans="1:11">
      <c r="A493" s="608" t="s">
        <v>2913</v>
      </c>
      <c r="B493" s="625" t="str">
        <f>IF('Part V-Revenues &amp; Expenses'!$O$57=0,"",'Part V-Revenues &amp; Expenses'!$O$57)</f>
        <v/>
      </c>
      <c r="C493" s="608" t="s">
        <v>3952</v>
      </c>
      <c r="D493" s="626" t="s">
        <v>3953</v>
      </c>
    </row>
    <row r="494" spans="1:11" ht="1.9" customHeight="1"/>
    <row r="495" spans="1:11" ht="12.75" customHeight="1">
      <c r="C495" s="605" t="s">
        <v>2878</v>
      </c>
      <c r="D495" s="627" t="s">
        <v>1839</v>
      </c>
      <c r="E495" s="628"/>
      <c r="F495" s="4730" t="s">
        <v>2879</v>
      </c>
      <c r="G495" s="4730"/>
      <c r="H495" s="4730"/>
      <c r="K495" s="431" t="s">
        <v>233</v>
      </c>
    </row>
    <row r="496" spans="1:11" ht="12.75" customHeight="1">
      <c r="C496" s="629" t="s">
        <v>1273</v>
      </c>
      <c r="D496" s="627" t="s">
        <v>1841</v>
      </c>
      <c r="E496" s="4730" t="s">
        <v>2919</v>
      </c>
      <c r="F496" s="4730"/>
      <c r="G496" s="4730"/>
      <c r="H496" s="4730"/>
    </row>
    <row r="497" spans="1:8" ht="12.75" customHeight="1">
      <c r="E497" s="4730" t="s">
        <v>3037</v>
      </c>
      <c r="F497" s="4730"/>
      <c r="G497" s="4730"/>
      <c r="H497" s="4730"/>
    </row>
    <row r="498" spans="1:8" ht="12.75" customHeight="1">
      <c r="D498" s="630" t="s">
        <v>2917</v>
      </c>
      <c r="E498" s="4730" t="s">
        <v>3038</v>
      </c>
      <c r="F498" s="4730"/>
      <c r="G498" s="4730"/>
      <c r="H498" s="4730"/>
    </row>
    <row r="499" spans="1:8" ht="9" customHeight="1" thickBot="1"/>
    <row r="500" spans="1:8" ht="16.149999999999999" customHeight="1" thickBot="1">
      <c r="A500" s="4737">
        <v>80</v>
      </c>
      <c r="B500" s="4738"/>
      <c r="C500" s="1387" t="s">
        <v>974</v>
      </c>
    </row>
    <row r="501" spans="1:8" ht="9" customHeight="1">
      <c r="A501" s="600"/>
    </row>
    <row r="502" spans="1:8" ht="28.15" customHeight="1">
      <c r="A502" s="4730" t="s">
        <v>3961</v>
      </c>
      <c r="B502" s="4730"/>
      <c r="C502" s="4730"/>
      <c r="D502" s="4730"/>
      <c r="E502" s="4730"/>
      <c r="F502" s="4730"/>
      <c r="G502" s="4730"/>
      <c r="H502" s="4730"/>
    </row>
    <row r="503" spans="1:8" ht="9" customHeight="1">
      <c r="A503" s="600"/>
    </row>
    <row r="504" spans="1:8">
      <c r="A504" s="608" t="s">
        <v>2913</v>
      </c>
      <c r="B504" s="625" t="str">
        <f>IF('Part V-Revenues &amp; Expenses'!$K$56=0,"",'Part V-Revenues &amp; Expenses'!$K$56)</f>
        <v/>
      </c>
      <c r="C504" s="608" t="s">
        <v>3949</v>
      </c>
      <c r="D504" s="626" t="s">
        <v>3950</v>
      </c>
    </row>
    <row r="505" spans="1:8" ht="1.9" customHeight="1"/>
    <row r="506" spans="1:8" ht="12.75" customHeight="1">
      <c r="C506" s="605" t="s">
        <v>2878</v>
      </c>
      <c r="D506" s="627" t="s">
        <v>1839</v>
      </c>
      <c r="E506" s="628"/>
      <c r="F506" s="4730" t="s">
        <v>2879</v>
      </c>
      <c r="G506" s="4730"/>
      <c r="H506" s="4730"/>
    </row>
    <row r="507" spans="1:8" ht="12.75" customHeight="1">
      <c r="C507" s="629" t="s">
        <v>1273</v>
      </c>
      <c r="D507" s="627" t="s">
        <v>1841</v>
      </c>
      <c r="E507" s="4730" t="s">
        <v>2918</v>
      </c>
      <c r="F507" s="4730"/>
      <c r="G507" s="4730"/>
      <c r="H507" s="4730"/>
    </row>
    <row r="508" spans="1:8" ht="12.75" customHeight="1">
      <c r="C508" s="1385" t="s">
        <v>3954</v>
      </c>
      <c r="E508" s="4730" t="s">
        <v>3037</v>
      </c>
      <c r="F508" s="4730"/>
      <c r="G508" s="4730"/>
      <c r="H508" s="4730"/>
    </row>
    <row r="509" spans="1:8" ht="12.75" customHeight="1">
      <c r="C509" s="1386"/>
      <c r="D509" s="1384" t="s">
        <v>2917</v>
      </c>
      <c r="E509" s="4731" t="s">
        <v>3038</v>
      </c>
      <c r="F509" s="4731"/>
      <c r="G509" s="4731"/>
      <c r="H509" s="4731"/>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30" t="s">
        <v>2918</v>
      </c>
      <c r="F512" s="4730"/>
      <c r="G512" s="4730"/>
      <c r="H512" s="4730"/>
    </row>
    <row r="513" spans="1:8" ht="12.75" customHeight="1">
      <c r="C513" s="1385" t="s">
        <v>3954</v>
      </c>
      <c r="E513" s="4730" t="s">
        <v>3037</v>
      </c>
      <c r="F513" s="4730"/>
      <c r="G513" s="4730"/>
      <c r="H513" s="4730"/>
    </row>
    <row r="514" spans="1:8" ht="12.75" customHeight="1">
      <c r="C514" s="1386"/>
      <c r="D514" s="1384" t="s">
        <v>2917</v>
      </c>
      <c r="E514" s="4731" t="s">
        <v>3038</v>
      </c>
      <c r="F514" s="4731"/>
      <c r="G514" s="4731"/>
      <c r="H514" s="4731"/>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30" t="s">
        <v>2918</v>
      </c>
      <c r="F517" s="4730"/>
      <c r="G517" s="4730"/>
      <c r="H517" s="4730"/>
    </row>
    <row r="518" spans="1:8" ht="12.75" customHeight="1">
      <c r="C518" s="1385" t="s">
        <v>3954</v>
      </c>
      <c r="E518" s="4730" t="s">
        <v>3037</v>
      </c>
      <c r="F518" s="4730"/>
      <c r="G518" s="4730"/>
      <c r="H518" s="4730"/>
    </row>
    <row r="519" spans="1:8" ht="12.75" customHeight="1">
      <c r="C519" s="1386"/>
      <c r="D519" s="1384" t="s">
        <v>2917</v>
      </c>
      <c r="E519" s="4731" t="s">
        <v>3038</v>
      </c>
      <c r="F519" s="4731"/>
      <c r="G519" s="4731"/>
      <c r="H519" s="4731"/>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30" t="s">
        <v>2918</v>
      </c>
      <c r="F524" s="4730"/>
      <c r="G524" s="4730"/>
      <c r="H524" s="4730"/>
    </row>
    <row r="525" spans="1:8" ht="12.75" customHeight="1">
      <c r="C525" s="1385" t="s">
        <v>3954</v>
      </c>
      <c r="E525" s="4730" t="s">
        <v>3037</v>
      </c>
      <c r="F525" s="4730"/>
      <c r="G525" s="4730"/>
      <c r="H525" s="4730"/>
    </row>
    <row r="526" spans="1:8" ht="12.75" customHeight="1">
      <c r="C526" s="1386"/>
      <c r="D526" s="630" t="s">
        <v>2917</v>
      </c>
      <c r="E526" s="4730" t="s">
        <v>3038</v>
      </c>
      <c r="F526" s="4730"/>
      <c r="G526" s="4730"/>
      <c r="H526" s="4730"/>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30" t="s">
        <v>2918</v>
      </c>
      <c r="F529" s="4730"/>
      <c r="G529" s="4730"/>
      <c r="H529" s="4730"/>
    </row>
    <row r="530" spans="1:8" ht="12.75" customHeight="1">
      <c r="C530" s="1385" t="s">
        <v>3954</v>
      </c>
      <c r="E530" s="4730" t="s">
        <v>3037</v>
      </c>
      <c r="F530" s="4730"/>
      <c r="G530" s="4730"/>
      <c r="H530" s="4730"/>
    </row>
    <row r="531" spans="1:8" ht="12.75" customHeight="1">
      <c r="C531" s="1386"/>
      <c r="D531" s="1384" t="s">
        <v>2917</v>
      </c>
      <c r="E531" s="4731" t="s">
        <v>3038</v>
      </c>
      <c r="F531" s="4731"/>
      <c r="G531" s="4731"/>
      <c r="H531" s="4731"/>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30" t="s">
        <v>2918</v>
      </c>
      <c r="F534" s="4730"/>
      <c r="G534" s="4730"/>
      <c r="H534" s="4730"/>
    </row>
    <row r="535" spans="1:8" ht="12.75" customHeight="1">
      <c r="C535" s="1385" t="s">
        <v>3954</v>
      </c>
      <c r="E535" s="4730" t="s">
        <v>3037</v>
      </c>
      <c r="F535" s="4730"/>
      <c r="G535" s="4730"/>
      <c r="H535" s="4730"/>
    </row>
    <row r="536" spans="1:8" ht="12.75" customHeight="1">
      <c r="C536" s="1386"/>
      <c r="D536" s="1384" t="s">
        <v>2917</v>
      </c>
      <c r="E536" s="4731" t="s">
        <v>3038</v>
      </c>
      <c r="F536" s="4731"/>
      <c r="G536" s="4731"/>
      <c r="H536" s="4731"/>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30" t="s">
        <v>2918</v>
      </c>
      <c r="F541" s="4730"/>
      <c r="G541" s="4730"/>
      <c r="H541" s="4730"/>
    </row>
    <row r="542" spans="1:8" ht="12.75" customHeight="1">
      <c r="C542" s="1385" t="s">
        <v>3954</v>
      </c>
      <c r="E542" s="4730" t="s">
        <v>3037</v>
      </c>
      <c r="F542" s="4730"/>
      <c r="G542" s="4730"/>
      <c r="H542" s="4730"/>
    </row>
    <row r="543" spans="1:8" ht="12.75" customHeight="1">
      <c r="C543" s="1386"/>
      <c r="D543" s="630" t="s">
        <v>2917</v>
      </c>
      <c r="E543" s="4730" t="s">
        <v>3038</v>
      </c>
      <c r="F543" s="4730"/>
      <c r="G543" s="4730"/>
      <c r="H543" s="4730"/>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30" t="s">
        <v>2918</v>
      </c>
      <c r="F546" s="4730"/>
      <c r="G546" s="4730"/>
      <c r="H546" s="4730"/>
    </row>
    <row r="547" spans="1:8" ht="12.75" customHeight="1">
      <c r="C547" s="1385" t="s">
        <v>3954</v>
      </c>
      <c r="E547" s="4730" t="s">
        <v>3037</v>
      </c>
      <c r="F547" s="4730"/>
      <c r="G547" s="4730"/>
      <c r="H547" s="4730"/>
    </row>
    <row r="548" spans="1:8" ht="12.75" customHeight="1">
      <c r="C548" s="1386"/>
      <c r="D548" s="1384" t="s">
        <v>2917</v>
      </c>
      <c r="E548" s="4731" t="s">
        <v>3038</v>
      </c>
      <c r="F548" s="4731"/>
      <c r="G548" s="4731"/>
      <c r="H548" s="4731"/>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30" t="s">
        <v>2918</v>
      </c>
      <c r="F551" s="4730"/>
      <c r="G551" s="4730"/>
      <c r="H551" s="4730"/>
    </row>
    <row r="552" spans="1:8" ht="12.75" customHeight="1">
      <c r="C552" s="1385" t="s">
        <v>3954</v>
      </c>
      <c r="E552" s="4730" t="s">
        <v>3037</v>
      </c>
      <c r="F552" s="4730"/>
      <c r="G552" s="4730"/>
      <c r="H552" s="4730"/>
    </row>
    <row r="553" spans="1:8" ht="12.75" customHeight="1">
      <c r="C553" s="1386"/>
      <c r="D553" s="1384" t="s">
        <v>2917</v>
      </c>
      <c r="E553" s="4731" t="s">
        <v>3038</v>
      </c>
      <c r="F553" s="4731"/>
      <c r="G553" s="4731"/>
      <c r="H553" s="4731"/>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30" t="s">
        <v>2918</v>
      </c>
      <c r="F558" s="4730"/>
      <c r="G558" s="4730"/>
      <c r="H558" s="4730"/>
    </row>
    <row r="559" spans="1:8" ht="12.75" customHeight="1">
      <c r="C559" s="1385" t="s">
        <v>3954</v>
      </c>
      <c r="E559" s="4730" t="s">
        <v>3037</v>
      </c>
      <c r="F559" s="4730"/>
      <c r="G559" s="4730"/>
      <c r="H559" s="4730"/>
    </row>
    <row r="560" spans="1:8" ht="12.75" customHeight="1">
      <c r="C560" s="1386"/>
      <c r="D560" s="630" t="s">
        <v>2917</v>
      </c>
      <c r="E560" s="4730" t="s">
        <v>3038</v>
      </c>
      <c r="F560" s="4730"/>
      <c r="G560" s="4730"/>
      <c r="H560" s="4730"/>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30" t="s">
        <v>2918</v>
      </c>
      <c r="F563" s="4730"/>
      <c r="G563" s="4730"/>
      <c r="H563" s="4730"/>
    </row>
    <row r="564" spans="1:11" ht="12.75" customHeight="1">
      <c r="C564" s="1385" t="s">
        <v>3954</v>
      </c>
      <c r="E564" s="4730" t="s">
        <v>3037</v>
      </c>
      <c r="F564" s="4730"/>
      <c r="G564" s="4730"/>
      <c r="H564" s="4730"/>
    </row>
    <row r="565" spans="1:11" ht="12.75" customHeight="1">
      <c r="C565" s="1386"/>
      <c r="D565" s="1384" t="s">
        <v>2917</v>
      </c>
      <c r="E565" s="4731" t="s">
        <v>3038</v>
      </c>
      <c r="F565" s="4731"/>
      <c r="G565" s="4731"/>
      <c r="H565" s="4731"/>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30" t="s">
        <v>2918</v>
      </c>
      <c r="F568" s="4730"/>
      <c r="G568" s="4730"/>
      <c r="H568" s="4730"/>
    </row>
    <row r="569" spans="1:11" ht="12.75" customHeight="1">
      <c r="C569" s="1385" t="s">
        <v>3954</v>
      </c>
      <c r="E569" s="4730" t="s">
        <v>3037</v>
      </c>
      <c r="F569" s="4730"/>
      <c r="G569" s="4730"/>
      <c r="H569" s="4730"/>
    </row>
    <row r="570" spans="1:11" ht="12.75" customHeight="1">
      <c r="C570" s="1386"/>
      <c r="D570" s="1384" t="s">
        <v>2917</v>
      </c>
      <c r="E570" s="4731" t="s">
        <v>3038</v>
      </c>
      <c r="F570" s="4731"/>
      <c r="G570" s="4731"/>
      <c r="H570" s="4731"/>
    </row>
    <row r="571" spans="1:11" ht="6" customHeight="1">
      <c r="D571" s="627"/>
      <c r="E571" s="1004"/>
      <c r="F571" s="1004"/>
      <c r="G571" s="1004"/>
      <c r="H571" s="1004"/>
    </row>
    <row r="572" spans="1:11">
      <c r="A572" s="608" t="s">
        <v>2913</v>
      </c>
      <c r="B572" s="625" t="str">
        <f>IF('Part V-Revenues &amp; Expenses'!$O$56=0,"",'Part V-Revenues &amp; Expenses'!$O$56)</f>
        <v/>
      </c>
      <c r="C572" s="608" t="s">
        <v>3952</v>
      </c>
      <c r="D572" s="626" t="s">
        <v>3953</v>
      </c>
    </row>
    <row r="573" spans="1:11" ht="1.9" customHeight="1"/>
    <row r="574" spans="1:11" ht="12.75" customHeight="1">
      <c r="C574" s="605" t="s">
        <v>2878</v>
      </c>
      <c r="D574" s="627" t="s">
        <v>1839</v>
      </c>
      <c r="E574" s="628"/>
      <c r="F574" s="4730" t="s">
        <v>2879</v>
      </c>
      <c r="G574" s="4730"/>
      <c r="H574" s="4730"/>
      <c r="K574" s="431" t="s">
        <v>233</v>
      </c>
    </row>
    <row r="575" spans="1:11" ht="12.75" customHeight="1">
      <c r="C575" s="629" t="s">
        <v>1273</v>
      </c>
      <c r="D575" s="627" t="s">
        <v>1841</v>
      </c>
      <c r="E575" s="4730" t="s">
        <v>2919</v>
      </c>
      <c r="F575" s="4730"/>
      <c r="G575" s="4730"/>
      <c r="H575" s="4730"/>
    </row>
    <row r="576" spans="1:11" ht="12.75" customHeight="1">
      <c r="E576" s="4730" t="s">
        <v>3037</v>
      </c>
      <c r="F576" s="4730"/>
      <c r="G576" s="4730"/>
      <c r="H576" s="4730"/>
    </row>
    <row r="577" spans="4:8" ht="12.75" customHeight="1">
      <c r="D577" s="630" t="s">
        <v>2917</v>
      </c>
      <c r="E577" s="4730" t="s">
        <v>3038</v>
      </c>
      <c r="F577" s="4730"/>
      <c r="G577" s="4730"/>
      <c r="H577" s="4730"/>
    </row>
    <row r="578" spans="4:8" ht="9" customHeight="1"/>
    <row r="579" spans="4:8" ht="7.5" customHeight="1">
      <c r="E579" s="4730"/>
      <c r="F579" s="4730"/>
      <c r="G579" s="4730"/>
      <c r="H579" s="4730"/>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8"/>
    <col min="27" max="16384" width="9.28515625" style="145"/>
  </cols>
  <sheetData>
    <row r="1" spans="1:26" s="1650" customFormat="1" ht="13.5" hidden="1" customHeight="1">
      <c r="A1" s="1615"/>
      <c r="D1" s="1650" t="s">
        <v>4215</v>
      </c>
      <c r="E1" s="1650" t="s">
        <v>4205</v>
      </c>
      <c r="F1" s="1650" t="s">
        <v>4216</v>
      </c>
      <c r="H1" s="1650" t="s">
        <v>4217</v>
      </c>
      <c r="J1" s="1650" t="s">
        <v>4218</v>
      </c>
      <c r="K1" s="1650" t="s">
        <v>4219</v>
      </c>
      <c r="L1" s="1650" t="s">
        <v>4220</v>
      </c>
      <c r="M1" s="1650" t="s">
        <v>4221</v>
      </c>
      <c r="O1" s="1650" t="s">
        <v>4222</v>
      </c>
      <c r="Q1" s="1650" t="s">
        <v>4223</v>
      </c>
      <c r="Z1" s="1617">
        <v>1</v>
      </c>
    </row>
    <row r="2" spans="1:26" s="144" customFormat="1" ht="14.1" customHeight="1">
      <c r="A2" s="3064" t="e">
        <f>CONCATENATE("PART TWO - DEVELOPMENT TEAM INFORMATION","  -  ",#REF!," ",#REF!,", ",#REF!,", ",#REF!," County")</f>
        <v>#REF!</v>
      </c>
      <c r="B2" s="3065"/>
      <c r="C2" s="3065"/>
      <c r="D2" s="3065"/>
      <c r="E2" s="3065"/>
      <c r="F2" s="3065"/>
      <c r="G2" s="3065"/>
      <c r="H2" s="3065"/>
      <c r="I2" s="3065"/>
      <c r="J2" s="3065"/>
      <c r="K2" s="3065"/>
      <c r="L2" s="3065"/>
      <c r="M2" s="3065"/>
      <c r="N2" s="3065"/>
      <c r="O2" s="3065"/>
      <c r="P2" s="3065"/>
      <c r="Q2" s="3065"/>
      <c r="R2" s="3065"/>
      <c r="S2" s="3066"/>
      <c r="Z2" s="1617">
        <v>2</v>
      </c>
    </row>
    <row r="3" spans="1:26" ht="12" customHeight="1" thickBot="1">
      <c r="A3" s="730" t="s">
        <v>3540</v>
      </c>
      <c r="B3" s="731"/>
      <c r="C3" s="731"/>
      <c r="D3" s="731"/>
      <c r="E3" s="731"/>
      <c r="F3" s="731"/>
      <c r="G3" s="731"/>
      <c r="H3" s="731"/>
      <c r="I3" s="731"/>
      <c r="J3" s="731"/>
      <c r="K3" s="731"/>
      <c r="L3" s="731"/>
      <c r="M3" s="731"/>
      <c r="N3" s="731"/>
      <c r="O3" s="731"/>
      <c r="P3" s="731"/>
      <c r="Q3" s="731"/>
      <c r="R3" s="731"/>
      <c r="S3" s="731"/>
      <c r="Z3" s="1617">
        <v>3</v>
      </c>
    </row>
    <row r="4" spans="1:26" s="144" customFormat="1" ht="13.35" customHeight="1" thickBot="1">
      <c r="A4" s="243" t="s">
        <v>572</v>
      </c>
      <c r="B4" s="222" t="s">
        <v>1717</v>
      </c>
      <c r="C4" s="222"/>
      <c r="E4" s="222"/>
      <c r="F4" s="222"/>
      <c r="G4" s="222"/>
      <c r="H4" s="932" t="s">
        <v>3373</v>
      </c>
      <c r="O4" s="3068" t="e">
        <f>#REF!</f>
        <v>#REF!</v>
      </c>
      <c r="P4" s="3069"/>
      <c r="Q4" s="3069"/>
      <c r="R4" s="3069"/>
      <c r="S4" s="3070"/>
      <c r="Z4" s="1617">
        <v>4</v>
      </c>
    </row>
    <row r="5" spans="1:26" s="144" customFormat="1" ht="8.65" customHeight="1">
      <c r="A5" s="243"/>
      <c r="B5" s="243"/>
      <c r="C5" s="243"/>
      <c r="D5" s="222"/>
      <c r="E5" s="222"/>
      <c r="F5" s="222"/>
      <c r="G5" s="222"/>
      <c r="H5" s="222"/>
      <c r="I5" s="222"/>
      <c r="J5" s="222"/>
      <c r="Z5" s="1617">
        <v>5</v>
      </c>
    </row>
    <row r="6" spans="1:26" s="144" customFormat="1" ht="11.25" customHeight="1">
      <c r="B6" s="243" t="s">
        <v>1836</v>
      </c>
      <c r="C6" s="222" t="s">
        <v>1713</v>
      </c>
      <c r="H6" s="2933" t="s">
        <v>87</v>
      </c>
      <c r="I6" s="2989"/>
      <c r="J6" s="2989"/>
      <c r="K6" s="2989"/>
      <c r="L6" s="2989"/>
      <c r="M6" s="2989"/>
      <c r="N6" s="2990"/>
      <c r="O6" s="259" t="s">
        <v>1842</v>
      </c>
      <c r="P6" s="259"/>
      <c r="Q6" s="2933"/>
      <c r="R6" s="2989"/>
      <c r="S6" s="2990"/>
      <c r="Y6" s="826"/>
      <c r="Z6" s="1617">
        <v>6</v>
      </c>
    </row>
    <row r="7" spans="1:26" s="144" customFormat="1" ht="11.25" customHeight="1">
      <c r="D7" s="260"/>
      <c r="E7" s="246" t="s">
        <v>956</v>
      </c>
      <c r="F7" s="247"/>
      <c r="H7" s="2950"/>
      <c r="I7" s="3056"/>
      <c r="J7" s="3056"/>
      <c r="K7" s="3057"/>
      <c r="L7" s="3056"/>
      <c r="M7" s="3056"/>
      <c r="N7" s="3058"/>
      <c r="O7" s="259" t="s">
        <v>1621</v>
      </c>
      <c r="P7" s="261"/>
      <c r="Q7" s="3059"/>
      <c r="R7" s="3060"/>
      <c r="S7" s="3061"/>
      <c r="V7" s="826"/>
      <c r="W7" s="826"/>
      <c r="X7" s="826"/>
      <c r="Y7" s="826"/>
      <c r="Z7" s="1617">
        <v>7</v>
      </c>
    </row>
    <row r="8" spans="1:26" s="144" customFormat="1" ht="11.25" customHeight="1">
      <c r="D8" s="260"/>
      <c r="E8" s="246" t="s">
        <v>574</v>
      </c>
      <c r="H8" s="2950"/>
      <c r="I8" s="3057"/>
      <c r="J8" s="2986"/>
      <c r="K8" s="334" t="s">
        <v>709</v>
      </c>
      <c r="L8" s="3067"/>
      <c r="M8" s="3056"/>
      <c r="N8" s="3058"/>
      <c r="O8" s="259" t="s">
        <v>1598</v>
      </c>
      <c r="P8" s="261"/>
      <c r="Q8" s="2944"/>
      <c r="R8" s="2945"/>
      <c r="S8" s="2946"/>
      <c r="Z8" s="1617">
        <v>8</v>
      </c>
    </row>
    <row r="9" spans="1:26" s="144" customFormat="1" ht="11.25" customHeight="1">
      <c r="D9" s="260"/>
      <c r="E9" s="246" t="s">
        <v>1666</v>
      </c>
      <c r="H9" s="981"/>
      <c r="I9" s="664" t="s">
        <v>2056</v>
      </c>
      <c r="J9" s="3071"/>
      <c r="K9" s="3072"/>
      <c r="L9" s="261" t="s">
        <v>3110</v>
      </c>
      <c r="M9" s="3073"/>
      <c r="N9" s="3074"/>
      <c r="O9" s="259" t="s">
        <v>1833</v>
      </c>
      <c r="P9" s="261"/>
      <c r="Q9" s="2944"/>
      <c r="R9" s="2945"/>
      <c r="S9" s="2946"/>
      <c r="Z9" s="1617">
        <v>9</v>
      </c>
    </row>
    <row r="10" spans="1:26" s="144" customFormat="1" ht="11.25" customHeight="1">
      <c r="D10" s="260"/>
      <c r="E10" s="246" t="s">
        <v>3374</v>
      </c>
      <c r="H10" s="3054"/>
      <c r="I10" s="3075"/>
      <c r="J10" s="699"/>
      <c r="K10" s="262" t="s">
        <v>1837</v>
      </c>
      <c r="L10" s="2987"/>
      <c r="M10" s="2937"/>
      <c r="N10" s="2937"/>
      <c r="O10" s="2938"/>
      <c r="P10" s="2938"/>
      <c r="Q10" s="2937"/>
      <c r="R10" s="2937"/>
      <c r="S10" s="2988"/>
      <c r="Z10" s="1617">
        <v>10</v>
      </c>
    </row>
    <row r="11" spans="1:26" s="144" customFormat="1" ht="11.25" customHeight="1">
      <c r="D11" s="260"/>
      <c r="E11" s="932" t="s">
        <v>3373</v>
      </c>
      <c r="H11" s="263"/>
      <c r="I11" s="261"/>
      <c r="J11" s="261"/>
      <c r="K11" s="304"/>
      <c r="L11" s="261"/>
      <c r="M11" s="261"/>
      <c r="N11" s="335" t="s">
        <v>3052</v>
      </c>
      <c r="O11" s="261"/>
      <c r="P11" s="261"/>
      <c r="Q11" s="262"/>
      <c r="R11" s="261"/>
      <c r="S11" s="261"/>
      <c r="T11" s="261"/>
      <c r="Z11" s="1617">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7">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7">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7">
        <v>14</v>
      </c>
    </row>
    <row r="15" spans="1:26" s="144" customFormat="1" ht="11.25" customHeight="1">
      <c r="D15" s="243" t="s">
        <v>1958</v>
      </c>
      <c r="E15" s="144" t="s">
        <v>1715</v>
      </c>
      <c r="H15" s="2933"/>
      <c r="I15" s="2989"/>
      <c r="J15" s="2989"/>
      <c r="K15" s="2989"/>
      <c r="L15" s="2989"/>
      <c r="M15" s="2989"/>
      <c r="N15" s="2990"/>
      <c r="O15" s="259" t="s">
        <v>1842</v>
      </c>
      <c r="P15" s="259"/>
      <c r="Q15" s="2933"/>
      <c r="R15" s="2989"/>
      <c r="S15" s="2990"/>
      <c r="Z15" s="1617">
        <v>15</v>
      </c>
    </row>
    <row r="16" spans="1:26" s="144" customFormat="1" ht="11.25" customHeight="1">
      <c r="D16" s="260"/>
      <c r="E16" s="246" t="s">
        <v>956</v>
      </c>
      <c r="F16" s="247"/>
      <c r="H16" s="2950"/>
      <c r="I16" s="3056"/>
      <c r="J16" s="3056"/>
      <c r="K16" s="3057"/>
      <c r="L16" s="3056"/>
      <c r="M16" s="3056"/>
      <c r="N16" s="3058"/>
      <c r="O16" s="259" t="s">
        <v>1621</v>
      </c>
      <c r="P16" s="261"/>
      <c r="Q16" s="3059"/>
      <c r="R16" s="3060"/>
      <c r="S16" s="3061"/>
      <c r="Z16" s="1617">
        <v>16</v>
      </c>
    </row>
    <row r="17" spans="4:26" s="144" customFormat="1" ht="11.25" customHeight="1">
      <c r="D17" s="260"/>
      <c r="E17" s="246" t="s">
        <v>574</v>
      </c>
      <c r="H17" s="2950"/>
      <c r="I17" s="3057"/>
      <c r="J17" s="2986"/>
      <c r="K17" s="262" t="s">
        <v>2451</v>
      </c>
      <c r="L17" s="2950"/>
      <c r="M17" s="3056"/>
      <c r="N17" s="2986"/>
      <c r="O17" s="259" t="s">
        <v>1598</v>
      </c>
      <c r="P17" s="261"/>
      <c r="Q17" s="2944"/>
      <c r="R17" s="2945"/>
      <c r="S17" s="2946"/>
      <c r="Z17" s="1617">
        <v>17</v>
      </c>
    </row>
    <row r="18" spans="4:26" s="144" customFormat="1" ht="11.25" customHeight="1">
      <c r="D18" s="243"/>
      <c r="E18" s="246" t="s">
        <v>1666</v>
      </c>
      <c r="H18" s="981"/>
      <c r="I18" s="261"/>
      <c r="J18" s="261"/>
      <c r="K18" s="664" t="s">
        <v>2056</v>
      </c>
      <c r="L18" s="3062"/>
      <c r="M18" s="3063"/>
      <c r="N18" s="261"/>
      <c r="O18" s="259" t="s">
        <v>1833</v>
      </c>
      <c r="P18" s="261"/>
      <c r="Q18" s="2944"/>
      <c r="R18" s="2945"/>
      <c r="S18" s="2946"/>
      <c r="Z18" s="1617">
        <v>18</v>
      </c>
    </row>
    <row r="19" spans="4:26" s="144" customFormat="1" ht="11.25" customHeight="1">
      <c r="D19" s="260"/>
      <c r="E19" s="246" t="s">
        <v>3374</v>
      </c>
      <c r="H19" s="3054"/>
      <c r="I19" s="3055"/>
      <c r="J19" s="255"/>
      <c r="K19" s="262" t="s">
        <v>1837</v>
      </c>
      <c r="L19" s="2936"/>
      <c r="M19" s="2937"/>
      <c r="N19" s="2938"/>
      <c r="O19" s="2938"/>
      <c r="P19" s="2938"/>
      <c r="Q19" s="2937"/>
      <c r="R19" s="2937"/>
      <c r="S19" s="2988"/>
      <c r="Z19" s="1617">
        <v>19</v>
      </c>
    </row>
    <row r="20" spans="4:26" ht="4.3499999999999996" customHeight="1">
      <c r="D20" s="253"/>
      <c r="H20" s="270"/>
      <c r="I20" s="270"/>
      <c r="J20" s="270"/>
      <c r="K20" s="262"/>
      <c r="L20" s="270"/>
      <c r="M20" s="270"/>
      <c r="N20" s="268"/>
      <c r="O20" s="269"/>
      <c r="P20" s="269"/>
      <c r="Q20" s="262"/>
      <c r="R20" s="269"/>
      <c r="S20" s="269"/>
      <c r="Z20" s="1617">
        <v>20</v>
      </c>
    </row>
    <row r="21" spans="4:26" s="144" customFormat="1" ht="11.25" customHeight="1">
      <c r="D21" s="243" t="s">
        <v>1959</v>
      </c>
      <c r="E21" s="144" t="s">
        <v>1716</v>
      </c>
      <c r="H21" s="2933"/>
      <c r="I21" s="2989"/>
      <c r="J21" s="2989"/>
      <c r="K21" s="2989"/>
      <c r="L21" s="2989"/>
      <c r="M21" s="2989"/>
      <c r="N21" s="2990"/>
      <c r="O21" s="259" t="s">
        <v>1842</v>
      </c>
      <c r="P21" s="259"/>
      <c r="Q21" s="2933"/>
      <c r="R21" s="2989"/>
      <c r="S21" s="2990"/>
      <c r="Z21" s="1617">
        <v>21</v>
      </c>
    </row>
    <row r="22" spans="4:26" s="144" customFormat="1" ht="11.25" customHeight="1">
      <c r="D22" s="260"/>
      <c r="E22" s="246" t="s">
        <v>956</v>
      </c>
      <c r="F22" s="247"/>
      <c r="H22" s="2950"/>
      <c r="I22" s="3056"/>
      <c r="J22" s="3056"/>
      <c r="K22" s="3057"/>
      <c r="L22" s="3056"/>
      <c r="M22" s="3056"/>
      <c r="N22" s="3058"/>
      <c r="O22" s="259" t="s">
        <v>1621</v>
      </c>
      <c r="P22" s="261"/>
      <c r="Q22" s="3059"/>
      <c r="R22" s="3060"/>
      <c r="S22" s="3061"/>
      <c r="Z22" s="1617">
        <v>22</v>
      </c>
    </row>
    <row r="23" spans="4:26" s="144" customFormat="1" ht="11.25" customHeight="1">
      <c r="D23" s="260"/>
      <c r="E23" s="246" t="s">
        <v>574</v>
      </c>
      <c r="H23" s="2950"/>
      <c r="I23" s="3057"/>
      <c r="J23" s="2986"/>
      <c r="K23" s="262" t="s">
        <v>2451</v>
      </c>
      <c r="L23" s="2950"/>
      <c r="M23" s="3056"/>
      <c r="N23" s="2986"/>
      <c r="O23" s="259" t="s">
        <v>1598</v>
      </c>
      <c r="P23" s="261"/>
      <c r="Q23" s="2944"/>
      <c r="R23" s="2945"/>
      <c r="S23" s="2946"/>
      <c r="Z23" s="1617">
        <v>23</v>
      </c>
    </row>
    <row r="24" spans="4:26" s="144" customFormat="1" ht="11.25" customHeight="1">
      <c r="E24" s="246" t="s">
        <v>1666</v>
      </c>
      <c r="H24" s="981"/>
      <c r="I24" s="261"/>
      <c r="J24" s="261"/>
      <c r="K24" s="664" t="s">
        <v>2056</v>
      </c>
      <c r="L24" s="3062"/>
      <c r="M24" s="3063"/>
      <c r="N24" s="261"/>
      <c r="O24" s="259" t="s">
        <v>1833</v>
      </c>
      <c r="P24" s="261"/>
      <c r="Q24" s="2944"/>
      <c r="R24" s="2945"/>
      <c r="S24" s="2946"/>
      <c r="Z24" s="1617">
        <v>24</v>
      </c>
    </row>
    <row r="25" spans="4:26" s="144" customFormat="1" ht="11.25" customHeight="1">
      <c r="D25" s="260"/>
      <c r="E25" s="246" t="s">
        <v>3374</v>
      </c>
      <c r="H25" s="3054"/>
      <c r="I25" s="3055"/>
      <c r="J25" s="255"/>
      <c r="K25" s="262" t="s">
        <v>1837</v>
      </c>
      <c r="L25" s="2936"/>
      <c r="M25" s="2937"/>
      <c r="N25" s="2938"/>
      <c r="O25" s="2938"/>
      <c r="P25" s="2938"/>
      <c r="Q25" s="2937"/>
      <c r="R25" s="2937"/>
      <c r="S25" s="2988"/>
      <c r="Z25" s="1617">
        <v>25</v>
      </c>
    </row>
    <row r="26" spans="4:26" s="144" customFormat="1" ht="4.3499999999999996" customHeight="1">
      <c r="D26" s="260"/>
      <c r="G26" s="246"/>
      <c r="H26" s="270"/>
      <c r="I26" s="270"/>
      <c r="J26" s="270"/>
      <c r="K26" s="262"/>
      <c r="L26" s="270"/>
      <c r="M26" s="270"/>
      <c r="N26" s="268"/>
      <c r="O26" s="269"/>
      <c r="P26" s="269"/>
      <c r="Q26" s="262"/>
      <c r="R26" s="269"/>
      <c r="S26" s="269"/>
      <c r="Z26" s="1617">
        <v>26</v>
      </c>
    </row>
    <row r="27" spans="4:26" s="144" customFormat="1" ht="11.25" customHeight="1">
      <c r="D27" s="243" t="s">
        <v>1608</v>
      </c>
      <c r="E27" s="144" t="s">
        <v>1716</v>
      </c>
      <c r="H27" s="2933"/>
      <c r="I27" s="2989"/>
      <c r="J27" s="2989"/>
      <c r="K27" s="2989"/>
      <c r="L27" s="2989"/>
      <c r="M27" s="2989"/>
      <c r="N27" s="2990"/>
      <c r="O27" s="259" t="s">
        <v>1842</v>
      </c>
      <c r="P27" s="259"/>
      <c r="Q27" s="2933"/>
      <c r="R27" s="2989"/>
      <c r="S27" s="2990"/>
      <c r="Z27" s="1617">
        <v>27</v>
      </c>
    </row>
    <row r="28" spans="4:26" s="144" customFormat="1" ht="11.25" customHeight="1">
      <c r="D28" s="260"/>
      <c r="E28" s="246" t="s">
        <v>956</v>
      </c>
      <c r="F28" s="247"/>
      <c r="H28" s="2950"/>
      <c r="I28" s="3056"/>
      <c r="J28" s="3056"/>
      <c r="K28" s="3057"/>
      <c r="L28" s="3056"/>
      <c r="M28" s="3056"/>
      <c r="N28" s="3058"/>
      <c r="O28" s="259" t="s">
        <v>1621</v>
      </c>
      <c r="P28" s="261"/>
      <c r="Q28" s="3059"/>
      <c r="R28" s="3060"/>
      <c r="S28" s="3061"/>
      <c r="Z28" s="1617">
        <v>28</v>
      </c>
    </row>
    <row r="29" spans="4:26" s="144" customFormat="1" ht="11.25" customHeight="1">
      <c r="D29" s="260"/>
      <c r="E29" s="246" t="s">
        <v>574</v>
      </c>
      <c r="H29" s="2950"/>
      <c r="I29" s="3057"/>
      <c r="J29" s="2986"/>
      <c r="K29" s="262" t="s">
        <v>2451</v>
      </c>
      <c r="L29" s="2950"/>
      <c r="M29" s="3056"/>
      <c r="N29" s="2986"/>
      <c r="O29" s="259" t="s">
        <v>1598</v>
      </c>
      <c r="P29" s="261"/>
      <c r="Q29" s="2944"/>
      <c r="R29" s="2945"/>
      <c r="S29" s="2946"/>
      <c r="Z29" s="1617">
        <v>29</v>
      </c>
    </row>
    <row r="30" spans="4:26" s="144" customFormat="1" ht="11.25" customHeight="1">
      <c r="E30" s="246" t="s">
        <v>1666</v>
      </c>
      <c r="H30" s="981"/>
      <c r="I30" s="261"/>
      <c r="J30" s="261"/>
      <c r="K30" s="664" t="s">
        <v>2056</v>
      </c>
      <c r="L30" s="3062"/>
      <c r="M30" s="3063"/>
      <c r="N30" s="261"/>
      <c r="O30" s="259" t="s">
        <v>1833</v>
      </c>
      <c r="P30" s="261"/>
      <c r="Q30" s="2944"/>
      <c r="R30" s="2945"/>
      <c r="S30" s="2946"/>
      <c r="Z30" s="1617">
        <v>30</v>
      </c>
    </row>
    <row r="31" spans="4:26" s="144" customFormat="1" ht="11.25" customHeight="1">
      <c r="D31" s="260"/>
      <c r="E31" s="246" t="s">
        <v>3374</v>
      </c>
      <c r="H31" s="3054"/>
      <c r="I31" s="3055"/>
      <c r="J31" s="255"/>
      <c r="K31" s="262" t="s">
        <v>1837</v>
      </c>
      <c r="L31" s="2936"/>
      <c r="M31" s="2937"/>
      <c r="N31" s="2938"/>
      <c r="O31" s="2938"/>
      <c r="P31" s="2938"/>
      <c r="Q31" s="2937"/>
      <c r="R31" s="2937"/>
      <c r="S31" s="2988"/>
      <c r="Z31" s="1617">
        <v>31</v>
      </c>
    </row>
    <row r="32" spans="4:26" ht="4.3499999999999996" customHeight="1">
      <c r="H32" s="271"/>
      <c r="I32" s="271"/>
      <c r="J32" s="271"/>
      <c r="K32" s="271"/>
      <c r="L32" s="271"/>
      <c r="M32" s="271"/>
      <c r="N32" s="271"/>
      <c r="O32" s="271"/>
      <c r="P32" s="271"/>
      <c r="Q32" s="271"/>
      <c r="R32" s="271"/>
      <c r="S32" s="271"/>
      <c r="Z32" s="1617">
        <v>32</v>
      </c>
    </row>
    <row r="33" spans="3:26" s="144" customFormat="1" ht="11.25" customHeight="1">
      <c r="C33" s="266" t="s">
        <v>1841</v>
      </c>
      <c r="D33" s="253" t="s">
        <v>1718</v>
      </c>
      <c r="H33" s="261"/>
      <c r="I33" s="261"/>
      <c r="J33" s="261"/>
      <c r="K33" s="1226" t="s">
        <v>3373</v>
      </c>
      <c r="L33" s="261"/>
      <c r="M33" s="261"/>
      <c r="N33" s="261"/>
      <c r="O33" s="261"/>
      <c r="P33" s="261"/>
      <c r="Q33" s="261"/>
      <c r="R33" s="261"/>
      <c r="S33" s="261"/>
      <c r="Z33" s="1617">
        <v>33</v>
      </c>
    </row>
    <row r="34" spans="3:26" s="144" customFormat="1" ht="11.25" customHeight="1">
      <c r="D34" s="243" t="s">
        <v>1958</v>
      </c>
      <c r="E34" s="144" t="s">
        <v>698</v>
      </c>
      <c r="H34" s="2933"/>
      <c r="I34" s="2989"/>
      <c r="J34" s="2989"/>
      <c r="K34" s="2989"/>
      <c r="L34" s="2989"/>
      <c r="M34" s="2989"/>
      <c r="N34" s="2990"/>
      <c r="O34" s="259" t="s">
        <v>1842</v>
      </c>
      <c r="P34" s="259"/>
      <c r="Q34" s="2933"/>
      <c r="R34" s="2989"/>
      <c r="S34" s="2990"/>
      <c r="Z34" s="1617">
        <v>34</v>
      </c>
    </row>
    <row r="35" spans="3:26" s="144" customFormat="1" ht="11.25" customHeight="1">
      <c r="D35" s="260"/>
      <c r="E35" s="246" t="s">
        <v>956</v>
      </c>
      <c r="F35" s="247"/>
      <c r="H35" s="2950"/>
      <c r="I35" s="3056"/>
      <c r="J35" s="3056"/>
      <c r="K35" s="3057"/>
      <c r="L35" s="3056"/>
      <c r="M35" s="3056"/>
      <c r="N35" s="3058"/>
      <c r="O35" s="259" t="s">
        <v>1621</v>
      </c>
      <c r="P35" s="261"/>
      <c r="Q35" s="3059"/>
      <c r="R35" s="3060"/>
      <c r="S35" s="3061"/>
      <c r="Z35" s="1617">
        <v>35</v>
      </c>
    </row>
    <row r="36" spans="3:26" s="144" customFormat="1" ht="11.25" customHeight="1">
      <c r="D36" s="260"/>
      <c r="E36" s="246" t="s">
        <v>574</v>
      </c>
      <c r="H36" s="2950"/>
      <c r="I36" s="3057"/>
      <c r="J36" s="2986"/>
      <c r="K36" s="262" t="s">
        <v>2451</v>
      </c>
      <c r="L36" s="2950"/>
      <c r="M36" s="3056"/>
      <c r="N36" s="2986"/>
      <c r="O36" s="259" t="s">
        <v>1598</v>
      </c>
      <c r="P36" s="261"/>
      <c r="Q36" s="2944"/>
      <c r="R36" s="2945"/>
      <c r="S36" s="2946"/>
      <c r="Z36" s="1617">
        <v>36</v>
      </c>
    </row>
    <row r="37" spans="3:26" s="144" customFormat="1" ht="11.25" customHeight="1">
      <c r="E37" s="246" t="s">
        <v>1666</v>
      </c>
      <c r="H37" s="981"/>
      <c r="I37" s="261"/>
      <c r="J37" s="261"/>
      <c r="K37" s="664" t="s">
        <v>2056</v>
      </c>
      <c r="L37" s="3062"/>
      <c r="M37" s="3063"/>
      <c r="N37" s="261"/>
      <c r="O37" s="259" t="s">
        <v>1833</v>
      </c>
      <c r="P37" s="261"/>
      <c r="Q37" s="2944"/>
      <c r="R37" s="2945"/>
      <c r="S37" s="2946"/>
      <c r="Z37" s="1617">
        <v>37</v>
      </c>
    </row>
    <row r="38" spans="3:26" s="144" customFormat="1" ht="11.25" customHeight="1">
      <c r="D38" s="260"/>
      <c r="E38" s="246" t="s">
        <v>3374</v>
      </c>
      <c r="H38" s="3054"/>
      <c r="I38" s="3055"/>
      <c r="J38" s="255"/>
      <c r="K38" s="262" t="s">
        <v>1837</v>
      </c>
      <c r="L38" s="2936"/>
      <c r="M38" s="2937"/>
      <c r="N38" s="2938"/>
      <c r="O38" s="2938"/>
      <c r="P38" s="2938"/>
      <c r="Q38" s="2937"/>
      <c r="R38" s="2937"/>
      <c r="S38" s="2988"/>
      <c r="Z38" s="1617">
        <v>38</v>
      </c>
    </row>
    <row r="39" spans="3:26" ht="4.3499999999999996" customHeight="1">
      <c r="H39" s="270"/>
      <c r="I39" s="270"/>
      <c r="J39" s="270"/>
      <c r="K39" s="262"/>
      <c r="L39" s="270"/>
      <c r="M39" s="270"/>
      <c r="N39" s="268"/>
      <c r="O39" s="269"/>
      <c r="P39" s="269"/>
      <c r="Q39" s="262"/>
      <c r="R39" s="269"/>
      <c r="S39" s="269"/>
      <c r="Z39" s="1617">
        <v>39</v>
      </c>
    </row>
    <row r="40" spans="3:26" s="144" customFormat="1" ht="11.25" customHeight="1">
      <c r="D40" s="243" t="s">
        <v>1959</v>
      </c>
      <c r="E40" s="144" t="s">
        <v>699</v>
      </c>
      <c r="F40" s="243"/>
      <c r="H40" s="2933"/>
      <c r="I40" s="2989"/>
      <c r="J40" s="2989"/>
      <c r="K40" s="2989"/>
      <c r="L40" s="2989"/>
      <c r="M40" s="2989"/>
      <c r="N40" s="2990"/>
      <c r="O40" s="259" t="s">
        <v>1842</v>
      </c>
      <c r="P40" s="259"/>
      <c r="Q40" s="2933"/>
      <c r="R40" s="2989"/>
      <c r="S40" s="2990"/>
      <c r="Z40" s="1617">
        <v>40</v>
      </c>
    </row>
    <row r="41" spans="3:26" s="144" customFormat="1" ht="11.25" customHeight="1">
      <c r="D41" s="260"/>
      <c r="E41" s="246" t="s">
        <v>956</v>
      </c>
      <c r="F41" s="247"/>
      <c r="H41" s="2950"/>
      <c r="I41" s="3056"/>
      <c r="J41" s="3056"/>
      <c r="K41" s="3057"/>
      <c r="L41" s="3056"/>
      <c r="M41" s="3056"/>
      <c r="N41" s="3058"/>
      <c r="O41" s="259" t="s">
        <v>1621</v>
      </c>
      <c r="P41" s="261"/>
      <c r="Q41" s="3059"/>
      <c r="R41" s="3060"/>
      <c r="S41" s="3061"/>
      <c r="Z41" s="1617">
        <v>41</v>
      </c>
    </row>
    <row r="42" spans="3:26" s="144" customFormat="1" ht="11.25" customHeight="1">
      <c r="D42" s="260"/>
      <c r="E42" s="246" t="s">
        <v>574</v>
      </c>
      <c r="H42" s="2950"/>
      <c r="I42" s="3057"/>
      <c r="J42" s="2986"/>
      <c r="K42" s="262" t="s">
        <v>2451</v>
      </c>
      <c r="L42" s="2950"/>
      <c r="M42" s="3056"/>
      <c r="N42" s="2986"/>
      <c r="O42" s="259" t="s">
        <v>1598</v>
      </c>
      <c r="P42" s="261"/>
      <c r="Q42" s="2944"/>
      <c r="R42" s="2945"/>
      <c r="S42" s="2946"/>
      <c r="Z42" s="1617">
        <v>42</v>
      </c>
    </row>
    <row r="43" spans="3:26" s="144" customFormat="1" ht="11.25" customHeight="1">
      <c r="D43" s="243"/>
      <c r="E43" s="246" t="s">
        <v>1666</v>
      </c>
      <c r="H43" s="981"/>
      <c r="I43" s="261"/>
      <c r="J43" s="261"/>
      <c r="K43" s="664" t="s">
        <v>2056</v>
      </c>
      <c r="L43" s="3062"/>
      <c r="M43" s="3063"/>
      <c r="N43" s="261"/>
      <c r="O43" s="259" t="s">
        <v>1833</v>
      </c>
      <c r="P43" s="261"/>
      <c r="Q43" s="2944"/>
      <c r="R43" s="2945"/>
      <c r="S43" s="2946"/>
      <c r="Z43" s="1617">
        <v>43</v>
      </c>
    </row>
    <row r="44" spans="3:26" s="144" customFormat="1" ht="11.25" customHeight="1">
      <c r="D44" s="260"/>
      <c r="E44" s="246" t="s">
        <v>3374</v>
      </c>
      <c r="H44" s="3054"/>
      <c r="I44" s="3055"/>
      <c r="J44" s="255"/>
      <c r="K44" s="262" t="s">
        <v>1837</v>
      </c>
      <c r="L44" s="2936"/>
      <c r="M44" s="2937"/>
      <c r="N44" s="2938"/>
      <c r="O44" s="2938"/>
      <c r="P44" s="2938"/>
      <c r="Q44" s="2937"/>
      <c r="R44" s="2937"/>
      <c r="S44" s="2988"/>
      <c r="Z44" s="1617">
        <v>44</v>
      </c>
    </row>
    <row r="45" spans="3:26" s="144" customFormat="1" ht="4.3499999999999996" customHeight="1">
      <c r="D45" s="260"/>
      <c r="E45" s="246"/>
      <c r="F45" s="243"/>
      <c r="H45" s="263"/>
      <c r="I45" s="263"/>
      <c r="J45" s="273"/>
      <c r="K45" s="262"/>
      <c r="L45" s="263"/>
      <c r="M45" s="263"/>
      <c r="N45" s="262"/>
      <c r="O45" s="263"/>
      <c r="P45" s="263"/>
      <c r="Q45" s="262"/>
      <c r="R45" s="263"/>
      <c r="S45" s="263"/>
      <c r="Z45" s="1617">
        <v>45</v>
      </c>
    </row>
    <row r="46" spans="3:26" s="144" customFormat="1" ht="11.25" customHeight="1">
      <c r="C46" s="272" t="s">
        <v>2326</v>
      </c>
      <c r="D46" s="253" t="s">
        <v>604</v>
      </c>
      <c r="H46" s="261"/>
      <c r="I46" s="261"/>
      <c r="J46" s="261"/>
      <c r="K46" s="1226" t="s">
        <v>3373</v>
      </c>
      <c r="L46" s="261"/>
      <c r="M46" s="261"/>
      <c r="N46" s="261"/>
      <c r="O46" s="261"/>
      <c r="P46" s="261"/>
      <c r="Q46" s="261"/>
      <c r="R46" s="261"/>
      <c r="S46" s="261"/>
      <c r="Z46" s="1617">
        <v>46</v>
      </c>
    </row>
    <row r="47" spans="3:26" s="144" customFormat="1" ht="11.25" customHeight="1">
      <c r="E47" s="144" t="s">
        <v>88</v>
      </c>
      <c r="H47" s="2933"/>
      <c r="I47" s="2989"/>
      <c r="J47" s="2989"/>
      <c r="K47" s="2989"/>
      <c r="L47" s="2989"/>
      <c r="M47" s="2989"/>
      <c r="N47" s="2990"/>
      <c r="O47" s="259" t="s">
        <v>1842</v>
      </c>
      <c r="P47" s="259"/>
      <c r="Q47" s="2933"/>
      <c r="R47" s="2989"/>
      <c r="S47" s="2990"/>
      <c r="Z47" s="1617">
        <v>47</v>
      </c>
    </row>
    <row r="48" spans="3:26" s="144" customFormat="1" ht="11.25" customHeight="1">
      <c r="D48" s="260"/>
      <c r="E48" s="246" t="s">
        <v>956</v>
      </c>
      <c r="F48" s="247"/>
      <c r="H48" s="2950"/>
      <c r="I48" s="3056"/>
      <c r="J48" s="3056"/>
      <c r="K48" s="3057"/>
      <c r="L48" s="3056"/>
      <c r="M48" s="3056"/>
      <c r="N48" s="3058"/>
      <c r="O48" s="259" t="s">
        <v>1621</v>
      </c>
      <c r="P48" s="261"/>
      <c r="Q48" s="3059"/>
      <c r="R48" s="3060"/>
      <c r="S48" s="3061"/>
      <c r="Z48" s="1617">
        <v>48</v>
      </c>
    </row>
    <row r="49" spans="1:26" s="144" customFormat="1" ht="11.25" customHeight="1">
      <c r="D49" s="260"/>
      <c r="E49" s="246" t="s">
        <v>574</v>
      </c>
      <c r="H49" s="2950"/>
      <c r="I49" s="3057"/>
      <c r="J49" s="2986"/>
      <c r="K49" s="262" t="s">
        <v>2451</v>
      </c>
      <c r="L49" s="2950"/>
      <c r="M49" s="3056"/>
      <c r="N49" s="2986"/>
      <c r="O49" s="259" t="s">
        <v>1598</v>
      </c>
      <c r="P49" s="261"/>
      <c r="Q49" s="2944"/>
      <c r="R49" s="2945"/>
      <c r="S49" s="2946"/>
      <c r="Z49" s="1617">
        <v>49</v>
      </c>
    </row>
    <row r="50" spans="1:26" s="144" customFormat="1" ht="11.25" customHeight="1">
      <c r="E50" s="246" t="s">
        <v>1666</v>
      </c>
      <c r="H50" s="981"/>
      <c r="I50" s="261"/>
      <c r="J50" s="261"/>
      <c r="K50" s="664" t="s">
        <v>2056</v>
      </c>
      <c r="L50" s="3062"/>
      <c r="M50" s="3063"/>
      <c r="N50" s="261"/>
      <c r="O50" s="259" t="s">
        <v>1833</v>
      </c>
      <c r="P50" s="261"/>
      <c r="Q50" s="2944"/>
      <c r="R50" s="2945"/>
      <c r="S50" s="2946"/>
      <c r="Z50" s="1617">
        <v>50</v>
      </c>
    </row>
    <row r="51" spans="1:26" s="144" customFormat="1" ht="11.25" customHeight="1">
      <c r="D51" s="260"/>
      <c r="E51" s="246" t="s">
        <v>3374</v>
      </c>
      <c r="H51" s="3054"/>
      <c r="I51" s="3055"/>
      <c r="J51" s="255"/>
      <c r="K51" s="262" t="s">
        <v>1837</v>
      </c>
      <c r="L51" s="2936"/>
      <c r="M51" s="2937"/>
      <c r="N51" s="2938"/>
      <c r="O51" s="2938"/>
      <c r="P51" s="2938"/>
      <c r="Q51" s="2937"/>
      <c r="R51" s="2937"/>
      <c r="S51" s="2988"/>
      <c r="Z51" s="1617">
        <v>51</v>
      </c>
    </row>
    <row r="52" spans="1:26" ht="6.75" customHeight="1">
      <c r="H52" s="271"/>
      <c r="I52" s="271"/>
      <c r="J52" s="271"/>
      <c r="K52" s="271"/>
      <c r="L52" s="271"/>
      <c r="M52" s="271"/>
      <c r="N52" s="271"/>
      <c r="O52" s="271"/>
      <c r="P52" s="271"/>
      <c r="Q52" s="271"/>
      <c r="R52" s="271"/>
      <c r="S52" s="271"/>
      <c r="Z52" s="1617">
        <v>52</v>
      </c>
    </row>
    <row r="53" spans="1:26" s="144" customFormat="1" ht="13.35" customHeight="1">
      <c r="A53" s="243" t="s">
        <v>688</v>
      </c>
      <c r="B53" s="243" t="s">
        <v>605</v>
      </c>
      <c r="F53" s="243"/>
      <c r="G53" s="248"/>
      <c r="H53" s="262"/>
      <c r="I53" s="262"/>
      <c r="J53" s="261"/>
      <c r="K53" s="1226" t="s">
        <v>3373</v>
      </c>
      <c r="L53" s="261"/>
      <c r="M53" s="261"/>
      <c r="N53" s="261"/>
      <c r="O53" s="261"/>
      <c r="P53" s="261"/>
      <c r="Q53" s="261"/>
      <c r="R53" s="261"/>
      <c r="S53" s="261"/>
      <c r="Z53" s="1617">
        <v>53</v>
      </c>
    </row>
    <row r="54" spans="1:26" s="144" customFormat="1" ht="3" customHeight="1">
      <c r="A54" s="243"/>
      <c r="B54" s="243"/>
      <c r="F54" s="243"/>
      <c r="G54" s="248"/>
      <c r="H54" s="267"/>
      <c r="I54" s="267"/>
      <c r="J54" s="267"/>
      <c r="K54" s="268"/>
      <c r="L54" s="267"/>
      <c r="M54" s="267"/>
      <c r="N54" s="268"/>
      <c r="O54" s="269"/>
      <c r="P54" s="269"/>
      <c r="Q54" s="262"/>
      <c r="R54" s="269"/>
      <c r="S54" s="269"/>
      <c r="Z54" s="1617">
        <v>54</v>
      </c>
    </row>
    <row r="55" spans="1:26" s="144" customFormat="1" ht="11.25" customHeight="1">
      <c r="B55" s="243" t="s">
        <v>1836</v>
      </c>
      <c r="C55" s="243" t="s">
        <v>270</v>
      </c>
      <c r="H55" s="2933"/>
      <c r="I55" s="2989"/>
      <c r="J55" s="2989"/>
      <c r="K55" s="2989"/>
      <c r="L55" s="2989"/>
      <c r="M55" s="2989"/>
      <c r="N55" s="2990"/>
      <c r="O55" s="259" t="s">
        <v>1842</v>
      </c>
      <c r="P55" s="259"/>
      <c r="Q55" s="2933"/>
      <c r="R55" s="2989"/>
      <c r="S55" s="2990"/>
      <c r="Z55" s="1617">
        <v>55</v>
      </c>
    </row>
    <row r="56" spans="1:26" s="144" customFormat="1" ht="11.25" customHeight="1">
      <c r="D56" s="260"/>
      <c r="E56" s="246" t="s">
        <v>956</v>
      </c>
      <c r="F56" s="247"/>
      <c r="H56" s="2950"/>
      <c r="I56" s="3056"/>
      <c r="J56" s="3056"/>
      <c r="K56" s="3057"/>
      <c r="L56" s="3056"/>
      <c r="M56" s="3056"/>
      <c r="N56" s="3058"/>
      <c r="O56" s="259" t="s">
        <v>1621</v>
      </c>
      <c r="P56" s="261"/>
      <c r="Q56" s="3059"/>
      <c r="R56" s="3060"/>
      <c r="S56" s="3061"/>
      <c r="Z56" s="1617">
        <v>56</v>
      </c>
    </row>
    <row r="57" spans="1:26" s="144" customFormat="1" ht="11.25" customHeight="1">
      <c r="D57" s="260"/>
      <c r="E57" s="246" t="s">
        <v>574</v>
      </c>
      <c r="H57" s="2950"/>
      <c r="I57" s="3057"/>
      <c r="J57" s="2986"/>
      <c r="K57" s="262" t="s">
        <v>2451</v>
      </c>
      <c r="L57" s="2950"/>
      <c r="M57" s="3056"/>
      <c r="N57" s="2986"/>
      <c r="O57" s="259" t="s">
        <v>1598</v>
      </c>
      <c r="P57" s="261"/>
      <c r="Q57" s="2944"/>
      <c r="R57" s="2945"/>
      <c r="S57" s="2946"/>
      <c r="Z57" s="1617">
        <v>57</v>
      </c>
    </row>
    <row r="58" spans="1:26" s="144" customFormat="1" ht="11.25" customHeight="1">
      <c r="E58" s="246" t="s">
        <v>1666</v>
      </c>
      <c r="H58" s="981"/>
      <c r="I58" s="261"/>
      <c r="J58" s="261"/>
      <c r="K58" s="664" t="s">
        <v>2056</v>
      </c>
      <c r="L58" s="3062"/>
      <c r="M58" s="3063"/>
      <c r="N58" s="261"/>
      <c r="O58" s="259" t="s">
        <v>1833</v>
      </c>
      <c r="P58" s="261"/>
      <c r="Q58" s="2944"/>
      <c r="R58" s="2945"/>
      <c r="S58" s="2946"/>
      <c r="Z58" s="1617">
        <v>58</v>
      </c>
    </row>
    <row r="59" spans="1:26" s="144" customFormat="1" ht="11.25" customHeight="1">
      <c r="D59" s="260"/>
      <c r="E59" s="246" t="s">
        <v>3374</v>
      </c>
      <c r="H59" s="3054"/>
      <c r="I59" s="3055"/>
      <c r="J59" s="255"/>
      <c r="K59" s="262" t="s">
        <v>1837</v>
      </c>
      <c r="L59" s="2936"/>
      <c r="M59" s="2937"/>
      <c r="N59" s="2938"/>
      <c r="O59" s="2938"/>
      <c r="P59" s="2938"/>
      <c r="Q59" s="2937"/>
      <c r="R59" s="2937"/>
      <c r="S59" s="2988"/>
      <c r="Z59" s="1617">
        <v>59</v>
      </c>
    </row>
    <row r="60" spans="1:26" s="144" customFormat="1" ht="6.6" customHeight="1">
      <c r="D60" s="260"/>
      <c r="G60" s="246"/>
      <c r="H60" s="270"/>
      <c r="I60" s="270"/>
      <c r="J60" s="270"/>
      <c r="K60" s="262"/>
      <c r="L60" s="270"/>
      <c r="M60" s="270"/>
      <c r="N60" s="268"/>
      <c r="O60" s="269"/>
      <c r="P60" s="269"/>
      <c r="Q60" s="262"/>
      <c r="R60" s="269"/>
      <c r="S60" s="269"/>
      <c r="Z60" s="1617">
        <v>60</v>
      </c>
    </row>
    <row r="61" spans="1:26" s="144" customFormat="1" ht="11.25" customHeight="1">
      <c r="B61" s="243" t="s">
        <v>1838</v>
      </c>
      <c r="C61" s="243" t="s">
        <v>271</v>
      </c>
      <c r="H61" s="2933"/>
      <c r="I61" s="2989"/>
      <c r="J61" s="2989"/>
      <c r="K61" s="2989"/>
      <c r="L61" s="2989"/>
      <c r="M61" s="2989"/>
      <c r="N61" s="2990"/>
      <c r="O61" s="259" t="s">
        <v>1842</v>
      </c>
      <c r="P61" s="259"/>
      <c r="Q61" s="2933"/>
      <c r="R61" s="2989"/>
      <c r="S61" s="2990"/>
      <c r="Z61" s="1617">
        <v>61</v>
      </c>
    </row>
    <row r="62" spans="1:26" s="144" customFormat="1" ht="11.25" customHeight="1">
      <c r="D62" s="260"/>
      <c r="E62" s="246" t="s">
        <v>956</v>
      </c>
      <c r="F62" s="247"/>
      <c r="H62" s="2950"/>
      <c r="I62" s="3056"/>
      <c r="J62" s="3056"/>
      <c r="K62" s="3057"/>
      <c r="L62" s="3056"/>
      <c r="M62" s="3056"/>
      <c r="N62" s="3058"/>
      <c r="O62" s="259" t="s">
        <v>1621</v>
      </c>
      <c r="P62" s="261"/>
      <c r="Q62" s="3059"/>
      <c r="R62" s="3060"/>
      <c r="S62" s="3061"/>
      <c r="Z62" s="1617">
        <v>62</v>
      </c>
    </row>
    <row r="63" spans="1:26" s="144" customFormat="1" ht="11.25" customHeight="1">
      <c r="D63" s="260"/>
      <c r="E63" s="246" t="s">
        <v>574</v>
      </c>
      <c r="H63" s="2950"/>
      <c r="I63" s="3057"/>
      <c r="J63" s="2986"/>
      <c r="K63" s="262" t="s">
        <v>2451</v>
      </c>
      <c r="L63" s="2950"/>
      <c r="M63" s="3056"/>
      <c r="N63" s="2986"/>
      <c r="O63" s="259" t="s">
        <v>1598</v>
      </c>
      <c r="P63" s="261"/>
      <c r="Q63" s="2944"/>
      <c r="R63" s="2945"/>
      <c r="S63" s="2946"/>
      <c r="Z63" s="1617">
        <v>63</v>
      </c>
    </row>
    <row r="64" spans="1:26" s="144" customFormat="1" ht="11.25" customHeight="1">
      <c r="E64" s="246" t="s">
        <v>1666</v>
      </c>
      <c r="H64" s="981"/>
      <c r="I64" s="261"/>
      <c r="J64" s="261"/>
      <c r="K64" s="664" t="s">
        <v>2056</v>
      </c>
      <c r="L64" s="3062"/>
      <c r="M64" s="3063"/>
      <c r="N64" s="261"/>
      <c r="O64" s="259" t="s">
        <v>1833</v>
      </c>
      <c r="P64" s="261"/>
      <c r="Q64" s="2944"/>
      <c r="R64" s="2945"/>
      <c r="S64" s="2946"/>
      <c r="Z64" s="1617">
        <v>64</v>
      </c>
    </row>
    <row r="65" spans="1:26" s="144" customFormat="1" ht="11.25" customHeight="1">
      <c r="D65" s="260"/>
      <c r="E65" s="246" t="s">
        <v>3374</v>
      </c>
      <c r="H65" s="3054"/>
      <c r="I65" s="3055"/>
      <c r="J65" s="255"/>
      <c r="K65" s="262" t="s">
        <v>1837</v>
      </c>
      <c r="L65" s="2936"/>
      <c r="M65" s="2937"/>
      <c r="N65" s="2938"/>
      <c r="O65" s="2938"/>
      <c r="P65" s="2938"/>
      <c r="Q65" s="2937"/>
      <c r="R65" s="2937"/>
      <c r="S65" s="2988"/>
      <c r="Z65" s="1617">
        <v>65</v>
      </c>
    </row>
    <row r="66" spans="1:26" s="144" customFormat="1" ht="6.6" customHeight="1">
      <c r="D66" s="260"/>
      <c r="G66" s="246"/>
      <c r="H66" s="270"/>
      <c r="I66" s="270"/>
      <c r="J66" s="270"/>
      <c r="K66" s="262"/>
      <c r="L66" s="270"/>
      <c r="M66" s="270"/>
      <c r="N66" s="268"/>
      <c r="O66" s="269"/>
      <c r="P66" s="269"/>
      <c r="Q66" s="262"/>
      <c r="R66" s="269"/>
      <c r="S66" s="269"/>
      <c r="Z66" s="1617">
        <v>66</v>
      </c>
    </row>
    <row r="67" spans="1:26" s="144" customFormat="1" ht="11.25" customHeight="1">
      <c r="B67" s="243" t="s">
        <v>697</v>
      </c>
      <c r="C67" s="243" t="s">
        <v>1428</v>
      </c>
      <c r="H67" s="2933"/>
      <c r="I67" s="2989"/>
      <c r="J67" s="2989"/>
      <c r="K67" s="2989"/>
      <c r="L67" s="2989"/>
      <c r="M67" s="2989"/>
      <c r="N67" s="2990"/>
      <c r="O67" s="259" t="s">
        <v>1842</v>
      </c>
      <c r="P67" s="259"/>
      <c r="Q67" s="2933"/>
      <c r="R67" s="2989"/>
      <c r="S67" s="2990"/>
      <c r="Z67" s="1617">
        <v>67</v>
      </c>
    </row>
    <row r="68" spans="1:26" s="144" customFormat="1" ht="11.25" customHeight="1">
      <c r="D68" s="260"/>
      <c r="E68" s="246" t="s">
        <v>956</v>
      </c>
      <c r="F68" s="247"/>
      <c r="H68" s="2950"/>
      <c r="I68" s="3056"/>
      <c r="J68" s="3056"/>
      <c r="K68" s="3057"/>
      <c r="L68" s="3056"/>
      <c r="M68" s="3056"/>
      <c r="N68" s="3058"/>
      <c r="O68" s="259" t="s">
        <v>1621</v>
      </c>
      <c r="P68" s="261"/>
      <c r="Q68" s="3059"/>
      <c r="R68" s="3060"/>
      <c r="S68" s="3061"/>
      <c r="Z68" s="1617">
        <v>68</v>
      </c>
    </row>
    <row r="69" spans="1:26" s="144" customFormat="1" ht="11.25" customHeight="1">
      <c r="D69" s="260"/>
      <c r="E69" s="246" t="s">
        <v>574</v>
      </c>
      <c r="H69" s="2950"/>
      <c r="I69" s="3057"/>
      <c r="J69" s="2986"/>
      <c r="K69" s="262" t="s">
        <v>2451</v>
      </c>
      <c r="L69" s="2950"/>
      <c r="M69" s="3056"/>
      <c r="N69" s="2986"/>
      <c r="O69" s="259" t="s">
        <v>1598</v>
      </c>
      <c r="P69" s="261"/>
      <c r="Q69" s="2944"/>
      <c r="R69" s="2945"/>
      <c r="S69" s="2946"/>
      <c r="Z69" s="1617">
        <v>69</v>
      </c>
    </row>
    <row r="70" spans="1:26" s="144" customFormat="1" ht="11.25" customHeight="1">
      <c r="E70" s="246" t="s">
        <v>1666</v>
      </c>
      <c r="H70" s="981"/>
      <c r="I70" s="261"/>
      <c r="J70" s="261"/>
      <c r="K70" s="664" t="s">
        <v>2056</v>
      </c>
      <c r="L70" s="3062"/>
      <c r="M70" s="3063"/>
      <c r="N70" s="261"/>
      <c r="O70" s="259" t="s">
        <v>1833</v>
      </c>
      <c r="P70" s="261"/>
      <c r="Q70" s="2944"/>
      <c r="R70" s="2945"/>
      <c r="S70" s="2946"/>
      <c r="Z70" s="1617">
        <v>70</v>
      </c>
    </row>
    <row r="71" spans="1:26" s="144" customFormat="1" ht="11.25" customHeight="1">
      <c r="D71" s="260"/>
      <c r="E71" s="246" t="s">
        <v>3374</v>
      </c>
      <c r="H71" s="3054"/>
      <c r="I71" s="3055"/>
      <c r="J71" s="255"/>
      <c r="K71" s="262" t="s">
        <v>1837</v>
      </c>
      <c r="L71" s="2936"/>
      <c r="M71" s="2937"/>
      <c r="N71" s="2938"/>
      <c r="O71" s="2938"/>
      <c r="P71" s="2938"/>
      <c r="Q71" s="2937"/>
      <c r="R71" s="2937"/>
      <c r="S71" s="2988"/>
      <c r="Z71" s="1617">
        <v>71</v>
      </c>
    </row>
    <row r="72" spans="1:26" ht="6.6" customHeight="1">
      <c r="H72" s="270"/>
      <c r="I72" s="270"/>
      <c r="J72" s="270"/>
      <c r="K72" s="262"/>
      <c r="L72" s="270"/>
      <c r="M72" s="270"/>
      <c r="N72" s="268"/>
      <c r="O72" s="269"/>
      <c r="P72" s="269"/>
      <c r="Q72" s="262"/>
      <c r="R72" s="269"/>
      <c r="S72" s="269"/>
      <c r="Z72" s="1617">
        <v>72</v>
      </c>
    </row>
    <row r="73" spans="1:26" s="144" customFormat="1" ht="11.25" customHeight="1">
      <c r="B73" s="243" t="s">
        <v>1957</v>
      </c>
      <c r="C73" s="243" t="s">
        <v>272</v>
      </c>
      <c r="H73" s="2933"/>
      <c r="I73" s="2989"/>
      <c r="J73" s="2989"/>
      <c r="K73" s="2989"/>
      <c r="L73" s="2989"/>
      <c r="M73" s="2989"/>
      <c r="N73" s="2990"/>
      <c r="O73" s="259" t="s">
        <v>1842</v>
      </c>
      <c r="P73" s="259"/>
      <c r="Q73" s="2933"/>
      <c r="R73" s="2989"/>
      <c r="S73" s="2990"/>
      <c r="Z73" s="1617">
        <v>73</v>
      </c>
    </row>
    <row r="74" spans="1:26" s="144" customFormat="1" ht="11.25" customHeight="1">
      <c r="D74" s="260"/>
      <c r="E74" s="246" t="s">
        <v>956</v>
      </c>
      <c r="F74" s="247"/>
      <c r="H74" s="2950"/>
      <c r="I74" s="3056"/>
      <c r="J74" s="3056"/>
      <c r="K74" s="3057"/>
      <c r="L74" s="3056"/>
      <c r="M74" s="3056"/>
      <c r="N74" s="3058"/>
      <c r="O74" s="259" t="s">
        <v>1621</v>
      </c>
      <c r="P74" s="261"/>
      <c r="Q74" s="3059"/>
      <c r="R74" s="3060"/>
      <c r="S74" s="3061"/>
      <c r="Z74" s="1617">
        <v>74</v>
      </c>
    </row>
    <row r="75" spans="1:26" s="144" customFormat="1" ht="11.25" customHeight="1">
      <c r="D75" s="260"/>
      <c r="E75" s="246" t="s">
        <v>574</v>
      </c>
      <c r="H75" s="2950"/>
      <c r="I75" s="3057"/>
      <c r="J75" s="2986"/>
      <c r="K75" s="262" t="s">
        <v>2451</v>
      </c>
      <c r="L75" s="2950"/>
      <c r="M75" s="3056"/>
      <c r="N75" s="2986"/>
      <c r="O75" s="259" t="s">
        <v>1598</v>
      </c>
      <c r="P75" s="261"/>
      <c r="Q75" s="2944"/>
      <c r="R75" s="2945"/>
      <c r="S75" s="2946"/>
      <c r="Z75" s="1617">
        <v>75</v>
      </c>
    </row>
    <row r="76" spans="1:26" s="144" customFormat="1" ht="11.25" customHeight="1">
      <c r="E76" s="246" t="s">
        <v>1666</v>
      </c>
      <c r="H76" s="981"/>
      <c r="I76" s="261"/>
      <c r="J76" s="261"/>
      <c r="K76" s="664" t="s">
        <v>2056</v>
      </c>
      <c r="L76" s="3062"/>
      <c r="M76" s="3063"/>
      <c r="N76" s="261"/>
      <c r="O76" s="259" t="s">
        <v>1833</v>
      </c>
      <c r="P76" s="261"/>
      <c r="Q76" s="2944"/>
      <c r="R76" s="2945"/>
      <c r="S76" s="2946"/>
      <c r="Z76" s="1617">
        <v>76</v>
      </c>
    </row>
    <row r="77" spans="1:26" s="144" customFormat="1" ht="11.25" customHeight="1">
      <c r="D77" s="260"/>
      <c r="E77" s="246" t="s">
        <v>3374</v>
      </c>
      <c r="H77" s="3054"/>
      <c r="I77" s="3055"/>
      <c r="J77" s="255"/>
      <c r="K77" s="262" t="s">
        <v>1837</v>
      </c>
      <c r="L77" s="2936"/>
      <c r="M77" s="2937"/>
      <c r="N77" s="2938"/>
      <c r="O77" s="2938"/>
      <c r="P77" s="2938"/>
      <c r="Q77" s="2937"/>
      <c r="R77" s="2937"/>
      <c r="S77" s="2988"/>
      <c r="Z77" s="1617">
        <v>77</v>
      </c>
    </row>
    <row r="78" spans="1:26" ht="6.75" customHeight="1">
      <c r="H78" s="271"/>
      <c r="I78" s="271"/>
      <c r="J78" s="271"/>
      <c r="K78" s="271"/>
      <c r="L78" s="271"/>
      <c r="M78" s="271"/>
      <c r="N78" s="271"/>
      <c r="O78" s="271"/>
      <c r="P78" s="271"/>
      <c r="Q78" s="271"/>
      <c r="R78" s="271"/>
      <c r="S78" s="271"/>
      <c r="Z78" s="1617">
        <v>78</v>
      </c>
    </row>
    <row r="79" spans="1:26" s="246" customFormat="1" ht="13.35" customHeight="1">
      <c r="A79" s="222" t="s">
        <v>690</v>
      </c>
      <c r="B79" s="222" t="s">
        <v>273</v>
      </c>
      <c r="D79" s="222"/>
      <c r="F79" s="222"/>
      <c r="G79" s="222"/>
      <c r="H79" s="264"/>
      <c r="I79" s="264"/>
      <c r="J79" s="264"/>
      <c r="K79" s="1226" t="s">
        <v>3373</v>
      </c>
      <c r="L79" s="264"/>
      <c r="M79" s="264"/>
      <c r="N79" s="259"/>
      <c r="O79" s="259"/>
      <c r="P79" s="259"/>
      <c r="Q79" s="259"/>
      <c r="R79" s="259"/>
      <c r="S79" s="259"/>
      <c r="Z79" s="1617">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7">
        <v>80</v>
      </c>
    </row>
    <row r="81" spans="2:26" s="144" customFormat="1" ht="11.25" customHeight="1">
      <c r="B81" s="243" t="s">
        <v>1836</v>
      </c>
      <c r="C81" s="243" t="s">
        <v>274</v>
      </c>
      <c r="H81" s="2933"/>
      <c r="I81" s="2989"/>
      <c r="J81" s="2989"/>
      <c r="K81" s="2989"/>
      <c r="L81" s="2989"/>
      <c r="M81" s="2989"/>
      <c r="N81" s="2990"/>
      <c r="O81" s="259" t="s">
        <v>1842</v>
      </c>
      <c r="P81" s="259"/>
      <c r="Q81" s="2933"/>
      <c r="R81" s="2989"/>
      <c r="S81" s="2990"/>
      <c r="Z81" s="1617">
        <v>81</v>
      </c>
    </row>
    <row r="82" spans="2:26" s="144" customFormat="1" ht="11.25" customHeight="1">
      <c r="D82" s="260"/>
      <c r="E82" s="246" t="s">
        <v>956</v>
      </c>
      <c r="F82" s="247"/>
      <c r="H82" s="2950"/>
      <c r="I82" s="3056"/>
      <c r="J82" s="3056"/>
      <c r="K82" s="3057"/>
      <c r="L82" s="3056"/>
      <c r="M82" s="3056"/>
      <c r="N82" s="3058"/>
      <c r="O82" s="259" t="s">
        <v>1621</v>
      </c>
      <c r="P82" s="261"/>
      <c r="Q82" s="3059"/>
      <c r="R82" s="3060"/>
      <c r="S82" s="3061"/>
      <c r="Z82" s="1617">
        <v>82</v>
      </c>
    </row>
    <row r="83" spans="2:26" s="144" customFormat="1" ht="11.25" customHeight="1">
      <c r="D83" s="260"/>
      <c r="E83" s="246" t="s">
        <v>574</v>
      </c>
      <c r="H83" s="2950"/>
      <c r="I83" s="3057"/>
      <c r="J83" s="2986"/>
      <c r="K83" s="262" t="s">
        <v>2451</v>
      </c>
      <c r="L83" s="2950"/>
      <c r="M83" s="3056"/>
      <c r="N83" s="2986"/>
      <c r="O83" s="259" t="s">
        <v>1598</v>
      </c>
      <c r="P83" s="261"/>
      <c r="Q83" s="2944"/>
      <c r="R83" s="2945"/>
      <c r="S83" s="2946"/>
      <c r="Z83" s="1617">
        <v>83</v>
      </c>
    </row>
    <row r="84" spans="2:26" s="144" customFormat="1" ht="11.25" customHeight="1">
      <c r="E84" s="246" t="s">
        <v>1666</v>
      </c>
      <c r="H84" s="981"/>
      <c r="I84" s="261"/>
      <c r="J84" s="261"/>
      <c r="K84" s="664" t="s">
        <v>2056</v>
      </c>
      <c r="L84" s="3062"/>
      <c r="M84" s="3063"/>
      <c r="N84" s="261"/>
      <c r="O84" s="259" t="s">
        <v>1833</v>
      </c>
      <c r="P84" s="261"/>
      <c r="Q84" s="2944"/>
      <c r="R84" s="2945"/>
      <c r="S84" s="2946"/>
      <c r="Z84" s="1617">
        <v>84</v>
      </c>
    </row>
    <row r="85" spans="2:26" s="144" customFormat="1" ht="11.25" customHeight="1">
      <c r="D85" s="260"/>
      <c r="E85" s="246" t="s">
        <v>3374</v>
      </c>
      <c r="H85" s="3054"/>
      <c r="I85" s="3055"/>
      <c r="J85" s="255"/>
      <c r="K85" s="262" t="s">
        <v>1837</v>
      </c>
      <c r="L85" s="2936"/>
      <c r="M85" s="2937"/>
      <c r="N85" s="2938"/>
      <c r="O85" s="2938"/>
      <c r="P85" s="2938"/>
      <c r="Q85" s="2937"/>
      <c r="R85" s="2937"/>
      <c r="S85" s="2988"/>
      <c r="Z85" s="1617">
        <v>85</v>
      </c>
    </row>
    <row r="86" spans="2:26" ht="6.6" customHeight="1">
      <c r="H86" s="270"/>
      <c r="I86" s="270"/>
      <c r="J86" s="270"/>
      <c r="K86" s="262"/>
      <c r="L86" s="270"/>
      <c r="M86" s="270"/>
      <c r="N86" s="268"/>
      <c r="O86" s="269"/>
      <c r="P86" s="269"/>
      <c r="Q86" s="262"/>
      <c r="R86" s="269"/>
      <c r="S86" s="269"/>
      <c r="Z86" s="1617">
        <v>86</v>
      </c>
    </row>
    <row r="87" spans="2:26" s="144" customFormat="1" ht="11.25" customHeight="1">
      <c r="B87" s="243" t="s">
        <v>1838</v>
      </c>
      <c r="C87" s="243" t="s">
        <v>275</v>
      </c>
      <c r="H87" s="2933"/>
      <c r="I87" s="2989"/>
      <c r="J87" s="2989"/>
      <c r="K87" s="2989"/>
      <c r="L87" s="2989"/>
      <c r="M87" s="2989"/>
      <c r="N87" s="2990"/>
      <c r="O87" s="259" t="s">
        <v>1842</v>
      </c>
      <c r="P87" s="259"/>
      <c r="Q87" s="2933"/>
      <c r="R87" s="2989"/>
      <c r="S87" s="2990"/>
      <c r="Z87" s="1617">
        <v>87</v>
      </c>
    </row>
    <row r="88" spans="2:26" s="144" customFormat="1" ht="11.25" customHeight="1">
      <c r="D88" s="260"/>
      <c r="E88" s="246" t="s">
        <v>956</v>
      </c>
      <c r="F88" s="247"/>
      <c r="H88" s="2950"/>
      <c r="I88" s="3056"/>
      <c r="J88" s="3056"/>
      <c r="K88" s="3057"/>
      <c r="L88" s="3056"/>
      <c r="M88" s="3056"/>
      <c r="N88" s="3058"/>
      <c r="O88" s="259" t="s">
        <v>1621</v>
      </c>
      <c r="P88" s="261"/>
      <c r="Q88" s="3059"/>
      <c r="R88" s="3060"/>
      <c r="S88" s="3061"/>
      <c r="Z88" s="1617">
        <v>88</v>
      </c>
    </row>
    <row r="89" spans="2:26" s="144" customFormat="1" ht="11.25" customHeight="1">
      <c r="D89" s="260"/>
      <c r="E89" s="246" t="s">
        <v>574</v>
      </c>
      <c r="H89" s="2950"/>
      <c r="I89" s="3057"/>
      <c r="J89" s="2986"/>
      <c r="K89" s="262" t="s">
        <v>2451</v>
      </c>
      <c r="L89" s="2950"/>
      <c r="M89" s="3056"/>
      <c r="N89" s="2986"/>
      <c r="O89" s="259" t="s">
        <v>1598</v>
      </c>
      <c r="P89" s="261"/>
      <c r="Q89" s="2944"/>
      <c r="R89" s="2945"/>
      <c r="S89" s="2946"/>
      <c r="Z89" s="1617">
        <v>89</v>
      </c>
    </row>
    <row r="90" spans="2:26" s="144" customFormat="1" ht="11.25" customHeight="1">
      <c r="E90" s="246" t="s">
        <v>1666</v>
      </c>
      <c r="H90" s="981"/>
      <c r="I90" s="261"/>
      <c r="J90" s="261"/>
      <c r="K90" s="664" t="s">
        <v>2056</v>
      </c>
      <c r="L90" s="3062"/>
      <c r="M90" s="3063"/>
      <c r="N90" s="261"/>
      <c r="O90" s="259" t="s">
        <v>1833</v>
      </c>
      <c r="P90" s="261"/>
      <c r="Q90" s="2944"/>
      <c r="R90" s="2945"/>
      <c r="S90" s="2946"/>
      <c r="Z90" s="1617">
        <v>90</v>
      </c>
    </row>
    <row r="91" spans="2:26" s="144" customFormat="1" ht="11.25" customHeight="1">
      <c r="D91" s="260"/>
      <c r="E91" s="246" t="s">
        <v>3374</v>
      </c>
      <c r="H91" s="3054"/>
      <c r="I91" s="3055"/>
      <c r="J91" s="255"/>
      <c r="K91" s="262" t="s">
        <v>1837</v>
      </c>
      <c r="L91" s="2936"/>
      <c r="M91" s="2937"/>
      <c r="N91" s="2938"/>
      <c r="O91" s="2938"/>
      <c r="P91" s="2938"/>
      <c r="Q91" s="2937"/>
      <c r="R91" s="2937"/>
      <c r="S91" s="2988"/>
      <c r="Z91" s="1617">
        <v>91</v>
      </c>
    </row>
    <row r="92" spans="2:26" ht="6.6" customHeight="1">
      <c r="H92" s="270"/>
      <c r="I92" s="270"/>
      <c r="J92" s="270"/>
      <c r="K92" s="262"/>
      <c r="L92" s="270"/>
      <c r="M92" s="270"/>
      <c r="N92" s="268"/>
      <c r="O92" s="269"/>
      <c r="P92" s="269"/>
      <c r="Q92" s="262"/>
      <c r="R92" s="269"/>
      <c r="S92" s="269"/>
      <c r="Z92" s="1617">
        <v>92</v>
      </c>
    </row>
    <row r="93" spans="2:26" s="144" customFormat="1" ht="11.25" customHeight="1">
      <c r="B93" s="243" t="s">
        <v>697</v>
      </c>
      <c r="C93" s="243" t="s">
        <v>276</v>
      </c>
      <c r="F93" s="145"/>
      <c r="H93" s="2933"/>
      <c r="I93" s="2989"/>
      <c r="J93" s="2989"/>
      <c r="K93" s="2989"/>
      <c r="L93" s="2989"/>
      <c r="M93" s="2989"/>
      <c r="N93" s="2990"/>
      <c r="O93" s="259" t="s">
        <v>1842</v>
      </c>
      <c r="P93" s="259"/>
      <c r="Q93" s="2933"/>
      <c r="R93" s="2989"/>
      <c r="S93" s="2990"/>
      <c r="Z93" s="1617">
        <v>93</v>
      </c>
    </row>
    <row r="94" spans="2:26" s="144" customFormat="1" ht="11.25" customHeight="1">
      <c r="D94" s="260"/>
      <c r="E94" s="246" t="s">
        <v>956</v>
      </c>
      <c r="F94" s="247"/>
      <c r="H94" s="2950"/>
      <c r="I94" s="3056"/>
      <c r="J94" s="3056"/>
      <c r="K94" s="3057"/>
      <c r="L94" s="3056"/>
      <c r="M94" s="3056"/>
      <c r="N94" s="3058"/>
      <c r="O94" s="259" t="s">
        <v>1621</v>
      </c>
      <c r="P94" s="261"/>
      <c r="Q94" s="3059"/>
      <c r="R94" s="3060"/>
      <c r="S94" s="3061"/>
      <c r="Z94" s="1617">
        <v>94</v>
      </c>
    </row>
    <row r="95" spans="2:26" s="144" customFormat="1" ht="11.25" customHeight="1">
      <c r="D95" s="260"/>
      <c r="E95" s="246" t="s">
        <v>574</v>
      </c>
      <c r="H95" s="2950"/>
      <c r="I95" s="3057"/>
      <c r="J95" s="2986"/>
      <c r="K95" s="262" t="s">
        <v>2451</v>
      </c>
      <c r="L95" s="2950"/>
      <c r="M95" s="3056"/>
      <c r="N95" s="2986"/>
      <c r="O95" s="259" t="s">
        <v>1598</v>
      </c>
      <c r="P95" s="261"/>
      <c r="Q95" s="2944"/>
      <c r="R95" s="2945"/>
      <c r="S95" s="2946"/>
      <c r="Z95" s="1617">
        <v>95</v>
      </c>
    </row>
    <row r="96" spans="2:26" s="144" customFormat="1" ht="11.25" customHeight="1">
      <c r="D96" s="260"/>
      <c r="E96" s="246" t="s">
        <v>1666</v>
      </c>
      <c r="H96" s="981"/>
      <c r="I96" s="261"/>
      <c r="J96" s="261"/>
      <c r="K96" s="664" t="s">
        <v>2056</v>
      </c>
      <c r="L96" s="3062"/>
      <c r="M96" s="3063"/>
      <c r="N96" s="261"/>
      <c r="O96" s="259" t="s">
        <v>1833</v>
      </c>
      <c r="P96" s="261"/>
      <c r="Q96" s="2944"/>
      <c r="R96" s="2945"/>
      <c r="S96" s="2946"/>
      <c r="Z96" s="1617">
        <v>96</v>
      </c>
    </row>
    <row r="97" spans="2:26" s="144" customFormat="1" ht="11.25" customHeight="1">
      <c r="D97" s="260"/>
      <c r="E97" s="246" t="s">
        <v>3374</v>
      </c>
      <c r="H97" s="3054"/>
      <c r="I97" s="3055"/>
      <c r="J97" s="255"/>
      <c r="K97" s="262" t="s">
        <v>1837</v>
      </c>
      <c r="L97" s="2936"/>
      <c r="M97" s="2937"/>
      <c r="N97" s="2938"/>
      <c r="O97" s="2938"/>
      <c r="P97" s="2938"/>
      <c r="Q97" s="2937"/>
      <c r="R97" s="2937"/>
      <c r="S97" s="2988"/>
      <c r="Z97" s="1617">
        <v>97</v>
      </c>
    </row>
    <row r="98" spans="2:26" ht="6.6" customHeight="1">
      <c r="H98" s="270"/>
      <c r="I98" s="270"/>
      <c r="J98" s="270"/>
      <c r="K98" s="262"/>
      <c r="L98" s="270"/>
      <c r="M98" s="270"/>
      <c r="N98" s="268"/>
      <c r="O98" s="269"/>
      <c r="P98" s="269"/>
      <c r="Q98" s="262"/>
      <c r="R98" s="269"/>
      <c r="S98" s="269"/>
      <c r="Z98" s="1617">
        <v>98</v>
      </c>
    </row>
    <row r="99" spans="2:26" s="144" customFormat="1" ht="11.25" customHeight="1">
      <c r="B99" s="243" t="s">
        <v>1957</v>
      </c>
      <c r="C99" s="243" t="s">
        <v>277</v>
      </c>
      <c r="H99" s="2933"/>
      <c r="I99" s="2989"/>
      <c r="J99" s="2989"/>
      <c r="K99" s="2989"/>
      <c r="L99" s="2989"/>
      <c r="M99" s="2989"/>
      <c r="N99" s="2990"/>
      <c r="O99" s="259" t="s">
        <v>1842</v>
      </c>
      <c r="P99" s="259"/>
      <c r="Q99" s="2933"/>
      <c r="R99" s="2989"/>
      <c r="S99" s="2990"/>
      <c r="Z99" s="1617">
        <v>99</v>
      </c>
    </row>
    <row r="100" spans="2:26" s="144" customFormat="1" ht="11.25" customHeight="1">
      <c r="D100" s="260"/>
      <c r="E100" s="246" t="s">
        <v>956</v>
      </c>
      <c r="F100" s="247"/>
      <c r="H100" s="2950"/>
      <c r="I100" s="3056"/>
      <c r="J100" s="3056"/>
      <c r="K100" s="3057"/>
      <c r="L100" s="3056"/>
      <c r="M100" s="3056"/>
      <c r="N100" s="3058"/>
      <c r="O100" s="259" t="s">
        <v>1621</v>
      </c>
      <c r="P100" s="261"/>
      <c r="Q100" s="3059"/>
      <c r="R100" s="3060"/>
      <c r="S100" s="3061"/>
      <c r="Z100" s="1617">
        <v>100</v>
      </c>
    </row>
    <row r="101" spans="2:26" s="144" customFormat="1" ht="11.25" customHeight="1">
      <c r="D101" s="260"/>
      <c r="E101" s="246" t="s">
        <v>574</v>
      </c>
      <c r="H101" s="2950"/>
      <c r="I101" s="3057"/>
      <c r="J101" s="2986"/>
      <c r="K101" s="262" t="s">
        <v>2451</v>
      </c>
      <c r="L101" s="2950"/>
      <c r="M101" s="3056"/>
      <c r="N101" s="2986"/>
      <c r="O101" s="259" t="s">
        <v>1598</v>
      </c>
      <c r="P101" s="261"/>
      <c r="Q101" s="2944"/>
      <c r="R101" s="2945"/>
      <c r="S101" s="2946"/>
      <c r="Z101" s="1617">
        <v>101</v>
      </c>
    </row>
    <row r="102" spans="2:26" s="144" customFormat="1" ht="11.25" customHeight="1">
      <c r="D102" s="260"/>
      <c r="E102" s="246" t="s">
        <v>1666</v>
      </c>
      <c r="H102" s="981"/>
      <c r="I102" s="261"/>
      <c r="J102" s="261"/>
      <c r="K102" s="664" t="s">
        <v>2056</v>
      </c>
      <c r="L102" s="3062"/>
      <c r="M102" s="3063"/>
      <c r="N102" s="261"/>
      <c r="O102" s="259" t="s">
        <v>1833</v>
      </c>
      <c r="P102" s="261"/>
      <c r="Q102" s="2944"/>
      <c r="R102" s="2945"/>
      <c r="S102" s="2946"/>
      <c r="Z102" s="1617">
        <v>102</v>
      </c>
    </row>
    <row r="103" spans="2:26" ht="11.25" customHeight="1">
      <c r="E103" s="246" t="s">
        <v>3374</v>
      </c>
      <c r="F103" s="144"/>
      <c r="G103" s="144"/>
      <c r="H103" s="3054"/>
      <c r="I103" s="3055"/>
      <c r="J103" s="255"/>
      <c r="K103" s="262" t="s">
        <v>1837</v>
      </c>
      <c r="L103" s="2936"/>
      <c r="M103" s="2937"/>
      <c r="N103" s="2938"/>
      <c r="O103" s="2938"/>
      <c r="P103" s="2938"/>
      <c r="Q103" s="2937"/>
      <c r="R103" s="2937"/>
      <c r="S103" s="2988"/>
      <c r="Z103" s="1617">
        <v>103</v>
      </c>
    </row>
    <row r="104" spans="2:26" ht="6" customHeight="1">
      <c r="E104" s="246"/>
      <c r="F104" s="144"/>
      <c r="G104" s="144"/>
      <c r="H104" s="270"/>
      <c r="I104" s="270"/>
      <c r="J104" s="270"/>
      <c r="K104" s="262"/>
      <c r="L104" s="270"/>
      <c r="M104" s="270"/>
      <c r="N104" s="268"/>
      <c r="O104" s="269"/>
      <c r="P104" s="269"/>
      <c r="Q104" s="262"/>
      <c r="R104" s="269"/>
      <c r="S104" s="269"/>
      <c r="Z104" s="1617">
        <v>104</v>
      </c>
    </row>
    <row r="105" spans="2:26" s="144" customFormat="1" ht="11.25" customHeight="1">
      <c r="B105" s="243" t="s">
        <v>1609</v>
      </c>
      <c r="C105" s="243" t="s">
        <v>278</v>
      </c>
      <c r="H105" s="2933"/>
      <c r="I105" s="2989"/>
      <c r="J105" s="2989"/>
      <c r="K105" s="2989"/>
      <c r="L105" s="2989"/>
      <c r="M105" s="2989"/>
      <c r="N105" s="2990"/>
      <c r="O105" s="259" t="s">
        <v>1842</v>
      </c>
      <c r="P105" s="259"/>
      <c r="Q105" s="2933"/>
      <c r="R105" s="2989"/>
      <c r="S105" s="2990"/>
      <c r="Z105" s="1617">
        <v>105</v>
      </c>
    </row>
    <row r="106" spans="2:26" s="144" customFormat="1" ht="11.25" customHeight="1">
      <c r="D106" s="260"/>
      <c r="E106" s="246" t="s">
        <v>956</v>
      </c>
      <c r="F106" s="247"/>
      <c r="H106" s="2950"/>
      <c r="I106" s="3056"/>
      <c r="J106" s="3056"/>
      <c r="K106" s="3057"/>
      <c r="L106" s="3056"/>
      <c r="M106" s="3056"/>
      <c r="N106" s="3058"/>
      <c r="O106" s="259" t="s">
        <v>1621</v>
      </c>
      <c r="P106" s="261"/>
      <c r="Q106" s="3059"/>
      <c r="R106" s="3060"/>
      <c r="S106" s="3061"/>
      <c r="Z106" s="1617">
        <v>106</v>
      </c>
    </row>
    <row r="107" spans="2:26" s="144" customFormat="1" ht="11.25" customHeight="1">
      <c r="D107" s="260"/>
      <c r="E107" s="246" t="s">
        <v>574</v>
      </c>
      <c r="H107" s="2950"/>
      <c r="I107" s="3057"/>
      <c r="J107" s="2986"/>
      <c r="K107" s="262" t="s">
        <v>2451</v>
      </c>
      <c r="L107" s="2950"/>
      <c r="M107" s="3056"/>
      <c r="N107" s="2986"/>
      <c r="O107" s="259" t="s">
        <v>1598</v>
      </c>
      <c r="P107" s="261"/>
      <c r="Q107" s="2944"/>
      <c r="R107" s="2945"/>
      <c r="S107" s="2946"/>
      <c r="Z107" s="1617">
        <v>107</v>
      </c>
    </row>
    <row r="108" spans="2:26" s="144" customFormat="1" ht="11.25" customHeight="1">
      <c r="D108" s="260"/>
      <c r="E108" s="246" t="s">
        <v>1666</v>
      </c>
      <c r="H108" s="981"/>
      <c r="I108" s="261"/>
      <c r="J108" s="261"/>
      <c r="K108" s="664" t="s">
        <v>2056</v>
      </c>
      <c r="L108" s="3062"/>
      <c r="M108" s="3063"/>
      <c r="N108" s="261"/>
      <c r="O108" s="259" t="s">
        <v>1833</v>
      </c>
      <c r="P108" s="261"/>
      <c r="Q108" s="2944"/>
      <c r="R108" s="2945"/>
      <c r="S108" s="2946"/>
      <c r="Z108" s="1617">
        <v>108</v>
      </c>
    </row>
    <row r="109" spans="2:26" ht="11.25" customHeight="1">
      <c r="E109" s="246" t="s">
        <v>3374</v>
      </c>
      <c r="F109" s="144"/>
      <c r="G109" s="144"/>
      <c r="H109" s="3054"/>
      <c r="I109" s="3055"/>
      <c r="J109" s="255"/>
      <c r="K109" s="262" t="s">
        <v>1837</v>
      </c>
      <c r="L109" s="2936"/>
      <c r="M109" s="2937"/>
      <c r="N109" s="2938"/>
      <c r="O109" s="2938"/>
      <c r="P109" s="2938"/>
      <c r="Q109" s="2937"/>
      <c r="R109" s="2937"/>
      <c r="S109" s="2988"/>
      <c r="Z109" s="1617">
        <v>109</v>
      </c>
    </row>
    <row r="110" spans="2:26" ht="6.6" customHeight="1">
      <c r="E110" s="246"/>
      <c r="F110" s="144"/>
      <c r="G110" s="144"/>
      <c r="H110" s="270"/>
      <c r="I110" s="270"/>
      <c r="J110" s="270"/>
      <c r="K110" s="262"/>
      <c r="L110" s="270"/>
      <c r="M110" s="270"/>
      <c r="N110" s="268"/>
      <c r="O110" s="269"/>
      <c r="P110" s="269"/>
      <c r="Q110" s="262"/>
      <c r="R110" s="269"/>
      <c r="S110" s="269"/>
      <c r="Z110" s="1617">
        <v>110</v>
      </c>
    </row>
    <row r="111" spans="2:26" s="144" customFormat="1" ht="11.25" customHeight="1">
      <c r="B111" s="243" t="s">
        <v>1610</v>
      </c>
      <c r="C111" s="243" t="s">
        <v>279</v>
      </c>
      <c r="H111" s="2933"/>
      <c r="I111" s="2989"/>
      <c r="J111" s="2989"/>
      <c r="K111" s="2989"/>
      <c r="L111" s="2989"/>
      <c r="M111" s="2989"/>
      <c r="N111" s="2990"/>
      <c r="O111" s="259" t="s">
        <v>1842</v>
      </c>
      <c r="P111" s="259"/>
      <c r="Q111" s="2933"/>
      <c r="R111" s="2989"/>
      <c r="S111" s="2990"/>
      <c r="Z111" s="1617">
        <v>111</v>
      </c>
    </row>
    <row r="112" spans="2:26" s="144" customFormat="1" ht="11.25" customHeight="1">
      <c r="D112" s="260"/>
      <c r="E112" s="246" t="s">
        <v>956</v>
      </c>
      <c r="F112" s="247"/>
      <c r="H112" s="2950"/>
      <c r="I112" s="3056"/>
      <c r="J112" s="3056"/>
      <c r="K112" s="3057"/>
      <c r="L112" s="3056"/>
      <c r="M112" s="3056"/>
      <c r="N112" s="3058"/>
      <c r="O112" s="259" t="s">
        <v>1621</v>
      </c>
      <c r="P112" s="261"/>
      <c r="Q112" s="3059"/>
      <c r="R112" s="3060"/>
      <c r="S112" s="3061"/>
      <c r="Z112" s="1617">
        <v>112</v>
      </c>
    </row>
    <row r="113" spans="1:26" s="144" customFormat="1" ht="11.25" customHeight="1">
      <c r="D113" s="260"/>
      <c r="E113" s="246" t="s">
        <v>574</v>
      </c>
      <c r="H113" s="2950"/>
      <c r="I113" s="3057"/>
      <c r="J113" s="2986"/>
      <c r="K113" s="262" t="s">
        <v>2451</v>
      </c>
      <c r="L113" s="2950"/>
      <c r="M113" s="3056"/>
      <c r="N113" s="2986"/>
      <c r="O113" s="259" t="s">
        <v>1598</v>
      </c>
      <c r="P113" s="261"/>
      <c r="Q113" s="2944"/>
      <c r="R113" s="2945"/>
      <c r="S113" s="2946"/>
      <c r="Z113" s="1617">
        <v>113</v>
      </c>
    </row>
    <row r="114" spans="1:26" s="144" customFormat="1" ht="11.25" customHeight="1">
      <c r="D114" s="260"/>
      <c r="E114" s="246" t="s">
        <v>1666</v>
      </c>
      <c r="H114" s="981"/>
      <c r="I114" s="261"/>
      <c r="J114" s="261"/>
      <c r="K114" s="664" t="s">
        <v>2056</v>
      </c>
      <c r="L114" s="3062"/>
      <c r="M114" s="3063"/>
      <c r="N114" s="261"/>
      <c r="O114" s="259" t="s">
        <v>1833</v>
      </c>
      <c r="P114" s="261"/>
      <c r="Q114" s="2944"/>
      <c r="R114" s="2945"/>
      <c r="S114" s="2946"/>
      <c r="Z114" s="1617">
        <v>114</v>
      </c>
    </row>
    <row r="115" spans="1:26" s="144" customFormat="1" ht="11.25" customHeight="1">
      <c r="D115" s="260"/>
      <c r="E115" s="246" t="s">
        <v>3374</v>
      </c>
      <c r="H115" s="3054"/>
      <c r="I115" s="3055"/>
      <c r="J115" s="255"/>
      <c r="K115" s="262" t="s">
        <v>1837</v>
      </c>
      <c r="L115" s="2936"/>
      <c r="M115" s="2937"/>
      <c r="N115" s="2938"/>
      <c r="O115" s="2938"/>
      <c r="P115" s="2938"/>
      <c r="Q115" s="2937"/>
      <c r="R115" s="2937"/>
      <c r="S115" s="2988"/>
      <c r="Z115" s="1617">
        <v>115</v>
      </c>
    </row>
    <row r="116" spans="1:26" ht="3" customHeight="1">
      <c r="H116" s="271"/>
      <c r="I116" s="271"/>
      <c r="J116" s="271"/>
      <c r="K116" s="271"/>
      <c r="L116" s="271"/>
      <c r="M116" s="271"/>
      <c r="N116" s="271"/>
      <c r="O116" s="271"/>
      <c r="P116" s="271"/>
      <c r="Q116" s="271"/>
      <c r="R116" s="271"/>
      <c r="S116" s="271"/>
      <c r="Z116" s="1617">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7">
        <v>117</v>
      </c>
    </row>
    <row r="118" spans="1:26" s="144" customFormat="1" ht="12" customHeight="1">
      <c r="A118" s="243"/>
      <c r="B118" s="243" t="s">
        <v>1836</v>
      </c>
      <c r="C118" s="243" t="s">
        <v>4120</v>
      </c>
      <c r="F118" s="243"/>
      <c r="G118" s="248"/>
      <c r="H118" s="262"/>
      <c r="I118" s="262"/>
      <c r="J118" s="262"/>
      <c r="K118" s="262"/>
      <c r="L118" s="262"/>
      <c r="M118" s="262"/>
      <c r="N118" s="262"/>
      <c r="O118" s="262"/>
      <c r="P118" s="262"/>
      <c r="Q118" s="262"/>
      <c r="R118" s="261"/>
      <c r="S118" s="261"/>
      <c r="Z118" s="1617">
        <v>118</v>
      </c>
    </row>
    <row r="119" spans="1:26" ht="2.25" customHeight="1">
      <c r="H119" s="271"/>
      <c r="I119" s="271"/>
      <c r="J119" s="271"/>
      <c r="K119" s="271"/>
      <c r="L119" s="271"/>
      <c r="M119" s="271"/>
      <c r="N119" s="271"/>
      <c r="O119" s="271"/>
      <c r="P119" s="271"/>
      <c r="Q119" s="271"/>
      <c r="R119" s="271"/>
      <c r="S119" s="271"/>
      <c r="Z119" s="1617">
        <v>119</v>
      </c>
    </row>
    <row r="120" spans="1:26" s="144" customFormat="1" ht="11.25" customHeight="1">
      <c r="C120" s="1590" t="s">
        <v>1839</v>
      </c>
      <c r="D120" s="243" t="s">
        <v>4367</v>
      </c>
      <c r="H120" s="2933"/>
      <c r="I120" s="2934"/>
      <c r="J120" s="2935"/>
      <c r="K120" s="262" t="s">
        <v>1665</v>
      </c>
      <c r="L120" s="2933"/>
      <c r="M120" s="2989"/>
      <c r="N120" s="2990"/>
      <c r="O120" s="259" t="s">
        <v>3056</v>
      </c>
      <c r="P120" s="261"/>
      <c r="Q120" s="2991"/>
      <c r="R120" s="2992"/>
      <c r="S120" s="2993"/>
      <c r="Z120" s="1617">
        <v>120</v>
      </c>
    </row>
    <row r="121" spans="1:26" s="144" customFormat="1" ht="11.25" customHeight="1">
      <c r="C121" s="243"/>
      <c r="D121" s="260"/>
      <c r="E121" s="246" t="s">
        <v>4121</v>
      </c>
      <c r="F121" s="247"/>
      <c r="H121" s="2977"/>
      <c r="I121" s="2978"/>
      <c r="J121" s="2979"/>
      <c r="K121" s="2980"/>
      <c r="L121" s="2978"/>
      <c r="M121" s="2978"/>
      <c r="N121" s="2981"/>
      <c r="O121" s="259" t="s">
        <v>574</v>
      </c>
      <c r="P121" s="261"/>
      <c r="Q121" s="2982"/>
      <c r="R121" s="2983"/>
      <c r="S121" s="2984"/>
      <c r="Z121" s="1617">
        <v>121</v>
      </c>
    </row>
    <row r="122" spans="1:26" s="144" customFormat="1" ht="11.25" customHeight="1">
      <c r="C122" s="243"/>
      <c r="D122" s="260"/>
      <c r="E122" s="246" t="s">
        <v>1666</v>
      </c>
      <c r="H122" s="1198"/>
      <c r="I122" s="664" t="s">
        <v>2056</v>
      </c>
      <c r="J122" s="2985"/>
      <c r="K122" s="2986"/>
      <c r="L122" s="262" t="s">
        <v>1837</v>
      </c>
      <c r="M122" s="2987"/>
      <c r="N122" s="2938"/>
      <c r="O122" s="2938"/>
      <c r="P122" s="2938"/>
      <c r="Q122" s="2937"/>
      <c r="R122" s="2937"/>
      <c r="S122" s="2988"/>
      <c r="Z122" s="1617">
        <v>122</v>
      </c>
    </row>
    <row r="123" spans="1:26" ht="2.25" customHeight="1">
      <c r="C123" s="253"/>
      <c r="H123" s="271"/>
      <c r="I123" s="271"/>
      <c r="J123" s="271"/>
      <c r="K123" s="271"/>
      <c r="L123" s="271"/>
      <c r="M123" s="271"/>
      <c r="N123" s="271"/>
      <c r="O123" s="271"/>
      <c r="P123" s="271"/>
      <c r="Q123" s="271"/>
      <c r="R123" s="271"/>
      <c r="S123" s="271"/>
      <c r="Z123" s="1617">
        <v>123</v>
      </c>
    </row>
    <row r="124" spans="1:26" s="144" customFormat="1" ht="11.25" hidden="1" customHeight="1">
      <c r="C124" s="1590"/>
      <c r="D124" s="144" t="s">
        <v>4368</v>
      </c>
      <c r="H124" s="2933"/>
      <c r="I124" s="2934"/>
      <c r="J124" s="2935"/>
      <c r="K124" s="262" t="s">
        <v>1665</v>
      </c>
      <c r="L124" s="2933"/>
      <c r="M124" s="2989"/>
      <c r="N124" s="2990"/>
      <c r="O124" s="259" t="s">
        <v>3056</v>
      </c>
      <c r="P124" s="261"/>
      <c r="Q124" s="2991"/>
      <c r="R124" s="2992"/>
      <c r="S124" s="2993"/>
      <c r="Z124" s="1617">
        <v>124</v>
      </c>
    </row>
    <row r="125" spans="1:26" s="144" customFormat="1" ht="11.25" hidden="1" customHeight="1">
      <c r="C125" s="243"/>
      <c r="D125" s="260"/>
      <c r="E125" s="246" t="s">
        <v>4121</v>
      </c>
      <c r="F125" s="247"/>
      <c r="H125" s="2977"/>
      <c r="I125" s="2978"/>
      <c r="J125" s="2979"/>
      <c r="K125" s="2980"/>
      <c r="L125" s="2978"/>
      <c r="M125" s="2978"/>
      <c r="N125" s="2981"/>
      <c r="O125" s="259" t="s">
        <v>574</v>
      </c>
      <c r="P125" s="261"/>
      <c r="Q125" s="2982"/>
      <c r="R125" s="2983"/>
      <c r="S125" s="2984"/>
      <c r="Z125" s="1617">
        <v>125</v>
      </c>
    </row>
    <row r="126" spans="1:26" s="144" customFormat="1" ht="11.25" hidden="1" customHeight="1">
      <c r="C126" s="243"/>
      <c r="D126" s="260"/>
      <c r="E126" s="246" t="s">
        <v>1666</v>
      </c>
      <c r="H126" s="1198"/>
      <c r="I126" s="664" t="s">
        <v>2056</v>
      </c>
      <c r="J126" s="2985"/>
      <c r="K126" s="2986"/>
      <c r="L126" s="262" t="s">
        <v>1837</v>
      </c>
      <c r="M126" s="2987"/>
      <c r="N126" s="2938"/>
      <c r="O126" s="2938"/>
      <c r="P126" s="2938"/>
      <c r="Q126" s="2937"/>
      <c r="R126" s="2937"/>
      <c r="S126" s="2988"/>
      <c r="Z126" s="1617">
        <v>126</v>
      </c>
    </row>
    <row r="127" spans="1:26" ht="2.25" hidden="1" customHeight="1">
      <c r="C127" s="253"/>
      <c r="H127" s="271"/>
      <c r="I127" s="271"/>
      <c r="J127" s="271"/>
      <c r="K127" s="271"/>
      <c r="L127" s="271"/>
      <c r="M127" s="271"/>
      <c r="N127" s="271"/>
      <c r="O127" s="271"/>
      <c r="P127" s="271"/>
      <c r="Q127" s="271"/>
      <c r="R127" s="271"/>
      <c r="S127" s="271"/>
      <c r="Z127" s="1617">
        <v>127</v>
      </c>
    </row>
    <row r="128" spans="1:26" s="144" customFormat="1" ht="11.25" hidden="1" customHeight="1">
      <c r="C128" s="1590"/>
      <c r="D128" s="144" t="s">
        <v>4201</v>
      </c>
      <c r="H128" s="2933"/>
      <c r="I128" s="2934"/>
      <c r="J128" s="2935"/>
      <c r="K128" s="262" t="s">
        <v>1665</v>
      </c>
      <c r="L128" s="2933"/>
      <c r="M128" s="2989"/>
      <c r="N128" s="2990"/>
      <c r="O128" s="259" t="s">
        <v>3056</v>
      </c>
      <c r="P128" s="261"/>
      <c r="Q128" s="2991"/>
      <c r="R128" s="2992"/>
      <c r="S128" s="2993"/>
      <c r="Z128" s="1617">
        <v>128</v>
      </c>
    </row>
    <row r="129" spans="3:26" s="144" customFormat="1" ht="11.25" hidden="1" customHeight="1">
      <c r="C129" s="243"/>
      <c r="D129" s="260"/>
      <c r="E129" s="246" t="s">
        <v>4121</v>
      </c>
      <c r="F129" s="247"/>
      <c r="H129" s="2977"/>
      <c r="I129" s="2978"/>
      <c r="J129" s="2979"/>
      <c r="K129" s="2980"/>
      <c r="L129" s="2978"/>
      <c r="M129" s="2978"/>
      <c r="N129" s="2981"/>
      <c r="O129" s="259" t="s">
        <v>574</v>
      </c>
      <c r="P129" s="261"/>
      <c r="Q129" s="2982"/>
      <c r="R129" s="2983"/>
      <c r="S129" s="2984"/>
      <c r="Z129" s="1617">
        <v>129</v>
      </c>
    </row>
    <row r="130" spans="3:26" s="144" customFormat="1" ht="11.25" hidden="1" customHeight="1">
      <c r="C130" s="243"/>
      <c r="D130" s="260"/>
      <c r="E130" s="246" t="s">
        <v>1666</v>
      </c>
      <c r="H130" s="1198"/>
      <c r="I130" s="664" t="s">
        <v>2056</v>
      </c>
      <c r="J130" s="2985"/>
      <c r="K130" s="2986"/>
      <c r="L130" s="262" t="s">
        <v>1837</v>
      </c>
      <c r="M130" s="2987"/>
      <c r="N130" s="2938"/>
      <c r="O130" s="2938"/>
      <c r="P130" s="2938"/>
      <c r="Q130" s="2937"/>
      <c r="R130" s="2937"/>
      <c r="S130" s="2988"/>
      <c r="Z130" s="1617">
        <v>130</v>
      </c>
    </row>
    <row r="131" spans="3:26" ht="2.25" hidden="1" customHeight="1">
      <c r="C131" s="253"/>
      <c r="H131" s="271"/>
      <c r="I131" s="271"/>
      <c r="J131" s="271"/>
      <c r="K131" s="271"/>
      <c r="L131" s="271"/>
      <c r="M131" s="271"/>
      <c r="N131" s="271"/>
      <c r="O131" s="271"/>
      <c r="P131" s="271"/>
      <c r="Q131" s="271"/>
      <c r="R131" s="271"/>
      <c r="S131" s="271"/>
      <c r="Z131" s="1617">
        <v>131</v>
      </c>
    </row>
    <row r="132" spans="3:26" s="144" customFormat="1" ht="11.25" hidden="1" customHeight="1">
      <c r="C132" s="1590"/>
      <c r="D132" s="144" t="s">
        <v>4369</v>
      </c>
      <c r="H132" s="2933"/>
      <c r="I132" s="2934"/>
      <c r="J132" s="2935"/>
      <c r="K132" s="262" t="s">
        <v>1665</v>
      </c>
      <c r="L132" s="2933"/>
      <c r="M132" s="2989"/>
      <c r="N132" s="2990"/>
      <c r="O132" s="259" t="s">
        <v>3056</v>
      </c>
      <c r="P132" s="261"/>
      <c r="Q132" s="2991"/>
      <c r="R132" s="2992"/>
      <c r="S132" s="2993"/>
      <c r="Z132" s="1617">
        <v>132</v>
      </c>
    </row>
    <row r="133" spans="3:26" s="144" customFormat="1" ht="11.25" hidden="1" customHeight="1">
      <c r="C133" s="243"/>
      <c r="D133" s="260"/>
      <c r="E133" s="246" t="s">
        <v>4121</v>
      </c>
      <c r="F133" s="247"/>
      <c r="H133" s="2977"/>
      <c r="I133" s="2978"/>
      <c r="J133" s="2979"/>
      <c r="K133" s="2980"/>
      <c r="L133" s="2978"/>
      <c r="M133" s="2978"/>
      <c r="N133" s="2981"/>
      <c r="O133" s="259" t="s">
        <v>574</v>
      </c>
      <c r="P133" s="261"/>
      <c r="Q133" s="2982"/>
      <c r="R133" s="2983"/>
      <c r="S133" s="2984"/>
      <c r="Z133" s="1617">
        <v>133</v>
      </c>
    </row>
    <row r="134" spans="3:26" s="144" customFormat="1" ht="11.25" hidden="1" customHeight="1">
      <c r="C134" s="243"/>
      <c r="D134" s="260"/>
      <c r="E134" s="246" t="s">
        <v>1666</v>
      </c>
      <c r="H134" s="1198"/>
      <c r="I134" s="664" t="s">
        <v>2056</v>
      </c>
      <c r="J134" s="2985"/>
      <c r="K134" s="2986"/>
      <c r="L134" s="262" t="s">
        <v>1837</v>
      </c>
      <c r="M134" s="2987"/>
      <c r="N134" s="2938"/>
      <c r="O134" s="2938"/>
      <c r="P134" s="2938"/>
      <c r="Q134" s="2937"/>
      <c r="R134" s="2937"/>
      <c r="S134" s="2988"/>
      <c r="Z134" s="1617">
        <v>134</v>
      </c>
    </row>
    <row r="135" spans="3:26" ht="2.25" hidden="1" customHeight="1">
      <c r="C135" s="253"/>
      <c r="H135" s="271"/>
      <c r="I135" s="271"/>
      <c r="J135" s="271"/>
      <c r="K135" s="271"/>
      <c r="L135" s="271"/>
      <c r="M135" s="271"/>
      <c r="N135" s="271"/>
      <c r="O135" s="271"/>
      <c r="P135" s="271"/>
      <c r="Q135" s="271"/>
      <c r="R135" s="271"/>
      <c r="S135" s="271"/>
      <c r="Z135" s="1617">
        <v>135</v>
      </c>
    </row>
    <row r="136" spans="3:26" s="144" customFormat="1" ht="11.25" hidden="1" customHeight="1">
      <c r="C136" s="1590"/>
      <c r="D136" s="144" t="s">
        <v>4370</v>
      </c>
      <c r="H136" s="2933"/>
      <c r="I136" s="2934"/>
      <c r="J136" s="2935"/>
      <c r="K136" s="262" t="s">
        <v>1665</v>
      </c>
      <c r="L136" s="2933"/>
      <c r="M136" s="2989"/>
      <c r="N136" s="2990"/>
      <c r="O136" s="259" t="s">
        <v>3056</v>
      </c>
      <c r="P136" s="261"/>
      <c r="Q136" s="2991"/>
      <c r="R136" s="2992"/>
      <c r="S136" s="2993"/>
      <c r="Z136" s="1617">
        <v>136</v>
      </c>
    </row>
    <row r="137" spans="3:26" s="144" customFormat="1" ht="11.25" hidden="1" customHeight="1">
      <c r="C137" s="243"/>
      <c r="D137" s="260"/>
      <c r="E137" s="246" t="s">
        <v>4121</v>
      </c>
      <c r="F137" s="247"/>
      <c r="H137" s="2977"/>
      <c r="I137" s="2978"/>
      <c r="J137" s="2979"/>
      <c r="K137" s="2980"/>
      <c r="L137" s="2978"/>
      <c r="M137" s="2978"/>
      <c r="N137" s="2981"/>
      <c r="O137" s="259" t="s">
        <v>574</v>
      </c>
      <c r="P137" s="261"/>
      <c r="Q137" s="2982"/>
      <c r="R137" s="2983"/>
      <c r="S137" s="2984"/>
      <c r="Z137" s="1617">
        <v>137</v>
      </c>
    </row>
    <row r="138" spans="3:26" s="144" customFormat="1" ht="11.25" hidden="1" customHeight="1">
      <c r="C138" s="243"/>
      <c r="D138" s="260"/>
      <c r="E138" s="246" t="s">
        <v>1666</v>
      </c>
      <c r="H138" s="1198"/>
      <c r="I138" s="664" t="s">
        <v>2056</v>
      </c>
      <c r="J138" s="2985"/>
      <c r="K138" s="2986"/>
      <c r="L138" s="262" t="s">
        <v>1837</v>
      </c>
      <c r="M138" s="2987"/>
      <c r="N138" s="2938"/>
      <c r="O138" s="2938"/>
      <c r="P138" s="2938"/>
      <c r="Q138" s="2937"/>
      <c r="R138" s="2937"/>
      <c r="S138" s="2988"/>
      <c r="Z138" s="1617">
        <v>138</v>
      </c>
    </row>
    <row r="139" spans="3:26" ht="2.25" hidden="1" customHeight="1">
      <c r="C139" s="253"/>
      <c r="H139" s="271"/>
      <c r="I139" s="271"/>
      <c r="J139" s="271"/>
      <c r="K139" s="271"/>
      <c r="L139" s="271"/>
      <c r="M139" s="271"/>
      <c r="N139" s="271"/>
      <c r="O139" s="271"/>
      <c r="P139" s="271"/>
      <c r="Q139" s="271"/>
      <c r="R139" s="271"/>
      <c r="S139" s="271"/>
      <c r="Z139" s="1617">
        <v>139</v>
      </c>
    </row>
    <row r="140" spans="3:26" s="144" customFormat="1" ht="11.25" hidden="1" customHeight="1">
      <c r="C140" s="1590"/>
      <c r="D140" s="144" t="s">
        <v>4371</v>
      </c>
      <c r="H140" s="2933"/>
      <c r="I140" s="2934"/>
      <c r="J140" s="2935"/>
      <c r="K140" s="262" t="s">
        <v>1665</v>
      </c>
      <c r="L140" s="2933"/>
      <c r="M140" s="2989"/>
      <c r="N140" s="2990"/>
      <c r="O140" s="259" t="s">
        <v>3056</v>
      </c>
      <c r="P140" s="261"/>
      <c r="Q140" s="2991"/>
      <c r="R140" s="2992"/>
      <c r="S140" s="2993"/>
      <c r="Z140" s="1617">
        <v>140</v>
      </c>
    </row>
    <row r="141" spans="3:26" s="144" customFormat="1" ht="11.25" hidden="1" customHeight="1">
      <c r="C141" s="243"/>
      <c r="D141" s="260"/>
      <c r="E141" s="246" t="s">
        <v>4121</v>
      </c>
      <c r="F141" s="247"/>
      <c r="H141" s="2977"/>
      <c r="I141" s="2978"/>
      <c r="J141" s="2979"/>
      <c r="K141" s="2980"/>
      <c r="L141" s="2978"/>
      <c r="M141" s="2978"/>
      <c r="N141" s="2981"/>
      <c r="O141" s="259" t="s">
        <v>574</v>
      </c>
      <c r="P141" s="261"/>
      <c r="Q141" s="2982"/>
      <c r="R141" s="2983"/>
      <c r="S141" s="2984"/>
      <c r="Z141" s="1617">
        <v>141</v>
      </c>
    </row>
    <row r="142" spans="3:26" s="144" customFormat="1" ht="11.25" hidden="1" customHeight="1">
      <c r="C142" s="243"/>
      <c r="D142" s="260"/>
      <c r="E142" s="246" t="s">
        <v>1666</v>
      </c>
      <c r="H142" s="1198"/>
      <c r="I142" s="664" t="s">
        <v>2056</v>
      </c>
      <c r="J142" s="2985"/>
      <c r="K142" s="2986"/>
      <c r="L142" s="262" t="s">
        <v>1837</v>
      </c>
      <c r="M142" s="2987"/>
      <c r="N142" s="2938"/>
      <c r="O142" s="2938"/>
      <c r="P142" s="2938"/>
      <c r="Q142" s="2937"/>
      <c r="R142" s="2937"/>
      <c r="S142" s="2988"/>
      <c r="Z142" s="1617">
        <v>142</v>
      </c>
    </row>
    <row r="143" spans="3:26" ht="2.25" hidden="1" customHeight="1">
      <c r="C143" s="253"/>
      <c r="H143" s="271"/>
      <c r="I143" s="271"/>
      <c r="J143" s="271"/>
      <c r="K143" s="271"/>
      <c r="L143" s="271"/>
      <c r="M143" s="271"/>
      <c r="N143" s="271"/>
      <c r="O143" s="271"/>
      <c r="P143" s="271"/>
      <c r="Q143" s="271"/>
      <c r="R143" s="271"/>
      <c r="S143" s="271"/>
      <c r="Z143" s="1617">
        <v>143</v>
      </c>
    </row>
    <row r="144" spans="3:26" s="144" customFormat="1" ht="11.25" customHeight="1">
      <c r="C144" s="1590" t="s">
        <v>1841</v>
      </c>
      <c r="D144" s="144" t="s">
        <v>4365</v>
      </c>
      <c r="H144" s="2933"/>
      <c r="I144" s="2934"/>
      <c r="J144" s="2935"/>
      <c r="K144" s="262" t="s">
        <v>1665</v>
      </c>
      <c r="L144" s="2933"/>
      <c r="M144" s="2989"/>
      <c r="N144" s="2990"/>
      <c r="O144" s="259" t="s">
        <v>3056</v>
      </c>
      <c r="P144" s="261"/>
      <c r="Q144" s="2991"/>
      <c r="R144" s="2992"/>
      <c r="S144" s="2993"/>
      <c r="Z144" s="1617">
        <v>144</v>
      </c>
    </row>
    <row r="145" spans="1:26" s="144" customFormat="1" ht="11.25" customHeight="1">
      <c r="C145" s="243"/>
      <c r="D145" s="260"/>
      <c r="E145" s="246" t="s">
        <v>4121</v>
      </c>
      <c r="F145" s="247"/>
      <c r="H145" s="2977"/>
      <c r="I145" s="2978"/>
      <c r="J145" s="2979"/>
      <c r="K145" s="2980"/>
      <c r="L145" s="2978"/>
      <c r="M145" s="2978"/>
      <c r="N145" s="2981"/>
      <c r="O145" s="259" t="s">
        <v>574</v>
      </c>
      <c r="P145" s="261"/>
      <c r="Q145" s="2982"/>
      <c r="R145" s="2983"/>
      <c r="S145" s="2984"/>
      <c r="Z145" s="1617">
        <v>145</v>
      </c>
    </row>
    <row r="146" spans="1:26" s="144" customFormat="1" ht="11.25" customHeight="1">
      <c r="C146" s="243"/>
      <c r="D146" s="260"/>
      <c r="E146" s="246" t="s">
        <v>1666</v>
      </c>
      <c r="H146" s="1198"/>
      <c r="I146" s="664" t="s">
        <v>2056</v>
      </c>
      <c r="J146" s="2985"/>
      <c r="K146" s="2986"/>
      <c r="L146" s="262" t="s">
        <v>1837</v>
      </c>
      <c r="M146" s="2987"/>
      <c r="N146" s="2938"/>
      <c r="O146" s="2938"/>
      <c r="P146" s="2938"/>
      <c r="Q146" s="2937"/>
      <c r="R146" s="2937"/>
      <c r="S146" s="2988"/>
      <c r="Z146" s="1617">
        <v>146</v>
      </c>
    </row>
    <row r="147" spans="1:26" ht="2.25" customHeight="1">
      <c r="C147" s="253"/>
      <c r="H147" s="271"/>
      <c r="I147" s="271"/>
      <c r="J147" s="271"/>
      <c r="K147" s="271"/>
      <c r="L147" s="271"/>
      <c r="M147" s="271"/>
      <c r="N147" s="271"/>
      <c r="O147" s="271"/>
      <c r="P147" s="271"/>
      <c r="Q147" s="271"/>
      <c r="R147" s="271"/>
      <c r="S147" s="271"/>
      <c r="Z147" s="1617">
        <v>147</v>
      </c>
    </row>
    <row r="148" spans="1:26" s="144" customFormat="1" ht="11.25" customHeight="1">
      <c r="C148" s="1590" t="s">
        <v>2326</v>
      </c>
      <c r="D148" s="144" t="s">
        <v>4366</v>
      </c>
      <c r="H148" s="2933"/>
      <c r="I148" s="2934"/>
      <c r="J148" s="2935"/>
      <c r="K148" s="262" t="s">
        <v>1665</v>
      </c>
      <c r="L148" s="2933"/>
      <c r="M148" s="2989"/>
      <c r="N148" s="2990"/>
      <c r="O148" s="259" t="s">
        <v>3056</v>
      </c>
      <c r="P148" s="261"/>
      <c r="Q148" s="2991"/>
      <c r="R148" s="2992"/>
      <c r="S148" s="2993"/>
      <c r="Z148" s="1617">
        <v>148</v>
      </c>
    </row>
    <row r="149" spans="1:26" s="144" customFormat="1" ht="11.25" customHeight="1">
      <c r="D149" s="260"/>
      <c r="E149" s="246" t="s">
        <v>4121</v>
      </c>
      <c r="F149" s="247"/>
      <c r="H149" s="2977"/>
      <c r="I149" s="2978"/>
      <c r="J149" s="2979"/>
      <c r="K149" s="2980"/>
      <c r="L149" s="2978"/>
      <c r="M149" s="2978"/>
      <c r="N149" s="2981"/>
      <c r="O149" s="259" t="s">
        <v>574</v>
      </c>
      <c r="P149" s="261"/>
      <c r="Q149" s="2982"/>
      <c r="R149" s="2983"/>
      <c r="S149" s="2984"/>
      <c r="Z149" s="1617">
        <v>149</v>
      </c>
    </row>
    <row r="150" spans="1:26" s="144" customFormat="1" ht="11.25" customHeight="1">
      <c r="D150" s="260"/>
      <c r="E150" s="246" t="s">
        <v>1666</v>
      </c>
      <c r="H150" s="1198"/>
      <c r="I150" s="664" t="s">
        <v>2056</v>
      </c>
      <c r="J150" s="2985"/>
      <c r="K150" s="2986"/>
      <c r="L150" s="262" t="s">
        <v>1837</v>
      </c>
      <c r="M150" s="2987"/>
      <c r="N150" s="2938"/>
      <c r="O150" s="2938"/>
      <c r="P150" s="2938"/>
      <c r="Q150" s="2937"/>
      <c r="R150" s="2937"/>
      <c r="S150" s="2988"/>
      <c r="Z150" s="1617">
        <v>150</v>
      </c>
    </row>
    <row r="151" spans="1:26" ht="6" customHeight="1">
      <c r="H151" s="271"/>
      <c r="I151" s="271"/>
      <c r="J151" s="271"/>
      <c r="K151" s="271"/>
      <c r="L151" s="271"/>
      <c r="M151" s="271"/>
      <c r="N151" s="271"/>
      <c r="O151" s="271"/>
      <c r="P151" s="271"/>
      <c r="Q151" s="271"/>
      <c r="R151" s="271"/>
      <c r="S151" s="271"/>
      <c r="Z151" s="1617">
        <v>151</v>
      </c>
    </row>
    <row r="152" spans="1:26" ht="12" customHeight="1">
      <c r="B152" s="243" t="s">
        <v>1838</v>
      </c>
      <c r="C152" s="243" t="s">
        <v>3758</v>
      </c>
      <c r="H152" s="479"/>
      <c r="I152" s="479"/>
      <c r="J152" s="479"/>
      <c r="K152" s="479"/>
      <c r="L152" s="479"/>
      <c r="M152" s="479"/>
      <c r="N152" s="479"/>
      <c r="O152" s="479"/>
      <c r="P152" s="479"/>
      <c r="Q152" s="479"/>
      <c r="R152" s="479"/>
      <c r="S152" s="479"/>
      <c r="Z152" s="1617">
        <v>152</v>
      </c>
    </row>
    <row r="153" spans="1:26" ht="13.5" thickBot="1">
      <c r="A153" s="2994" t="s">
        <v>3214</v>
      </c>
      <c r="B153" s="2994"/>
      <c r="C153" s="2994"/>
      <c r="D153" s="2994"/>
      <c r="E153" s="2994"/>
      <c r="H153" s="1200" t="s">
        <v>2302</v>
      </c>
      <c r="I153" s="2971" t="s">
        <v>4413</v>
      </c>
      <c r="J153" s="2972"/>
      <c r="K153" s="2972"/>
      <c r="L153" s="2972"/>
      <c r="M153" s="2972"/>
      <c r="N153" s="2972"/>
      <c r="O153" s="2972"/>
      <c r="P153" s="2972"/>
      <c r="Q153" s="2972"/>
      <c r="R153" s="2972"/>
      <c r="S153" s="2973"/>
      <c r="Z153" s="1617">
        <v>153</v>
      </c>
    </row>
    <row r="154" spans="1:26" s="144" customFormat="1" ht="15" customHeight="1" thickBot="1">
      <c r="B154" s="475" t="s">
        <v>1839</v>
      </c>
      <c r="C154" s="256" t="s">
        <v>2513</v>
      </c>
      <c r="E154" s="256"/>
      <c r="H154" s="1157" t="s">
        <v>3716</v>
      </c>
      <c r="I154" s="3078"/>
      <c r="J154" s="2999"/>
      <c r="K154" s="2999"/>
      <c r="L154" s="2999"/>
      <c r="M154" s="2999"/>
      <c r="N154" s="2999"/>
      <c r="O154" s="2999"/>
      <c r="P154" s="2999"/>
      <c r="Q154" s="2999"/>
      <c r="R154" s="2999"/>
      <c r="S154" s="3001"/>
      <c r="U154" s="2908" t="s">
        <v>1878</v>
      </c>
      <c r="V154" s="2908"/>
      <c r="Z154" s="1617">
        <v>154</v>
      </c>
    </row>
    <row r="155" spans="1:26" s="144" customFormat="1" ht="15" customHeight="1" thickBot="1">
      <c r="B155" s="475" t="s">
        <v>1841</v>
      </c>
      <c r="C155" s="256" t="s">
        <v>4119</v>
      </c>
      <c r="E155" s="256"/>
      <c r="H155" s="1157" t="s">
        <v>3716</v>
      </c>
      <c r="I155" s="3077"/>
      <c r="J155" s="3006"/>
      <c r="K155" s="3006"/>
      <c r="L155" s="3006"/>
      <c r="M155" s="3006"/>
      <c r="N155" s="3006"/>
      <c r="O155" s="3006"/>
      <c r="P155" s="3006"/>
      <c r="Q155" s="3006"/>
      <c r="R155" s="3006"/>
      <c r="S155" s="3008"/>
      <c r="U155" s="2908"/>
      <c r="V155" s="2908"/>
      <c r="Z155" s="1617">
        <v>155</v>
      </c>
    </row>
    <row r="156" spans="1:26" s="144" customFormat="1" ht="15" customHeight="1" thickBot="1">
      <c r="B156" s="475" t="s">
        <v>2326</v>
      </c>
      <c r="C156" s="256" t="s">
        <v>2549</v>
      </c>
      <c r="E156" s="256"/>
      <c r="H156" s="1157" t="s">
        <v>3716</v>
      </c>
      <c r="I156" s="3077"/>
      <c r="J156" s="3006"/>
      <c r="K156" s="3006"/>
      <c r="L156" s="3006"/>
      <c r="M156" s="3006"/>
      <c r="N156" s="3006"/>
      <c r="O156" s="3006"/>
      <c r="P156" s="3006"/>
      <c r="Q156" s="3006"/>
      <c r="R156" s="3006"/>
      <c r="S156" s="3008"/>
      <c r="U156" s="2908"/>
      <c r="V156" s="2908"/>
      <c r="Z156" s="1617">
        <v>156</v>
      </c>
    </row>
    <row r="157" spans="1:26" s="144" customFormat="1" ht="15" customHeight="1" thickBot="1">
      <c r="B157" s="475" t="s">
        <v>1149</v>
      </c>
      <c r="C157" s="256" t="s">
        <v>2514</v>
      </c>
      <c r="E157" s="256"/>
      <c r="H157" s="1157" t="s">
        <v>3716</v>
      </c>
      <c r="I157" s="3077"/>
      <c r="J157" s="3006"/>
      <c r="K157" s="3006"/>
      <c r="L157" s="3006"/>
      <c r="M157" s="3006"/>
      <c r="N157" s="3006"/>
      <c r="O157" s="3006"/>
      <c r="P157" s="3006"/>
      <c r="Q157" s="3006"/>
      <c r="R157" s="3006"/>
      <c r="S157" s="3008"/>
      <c r="U157" s="2908"/>
      <c r="V157" s="2908"/>
      <c r="Z157" s="1617">
        <v>157</v>
      </c>
    </row>
    <row r="158" spans="1:26" s="144" customFormat="1" ht="15" customHeight="1" thickBot="1">
      <c r="B158" s="475" t="s">
        <v>1150</v>
      </c>
      <c r="C158" s="256" t="s">
        <v>2990</v>
      </c>
      <c r="E158" s="256"/>
      <c r="H158" s="1157" t="s">
        <v>3716</v>
      </c>
      <c r="I158" s="3077"/>
      <c r="J158" s="3006"/>
      <c r="K158" s="3006"/>
      <c r="L158" s="3006"/>
      <c r="M158" s="3006"/>
      <c r="N158" s="3006"/>
      <c r="O158" s="3006"/>
      <c r="P158" s="3006"/>
      <c r="Q158" s="3006"/>
      <c r="R158" s="3006"/>
      <c r="S158" s="3008"/>
      <c r="U158" s="2908"/>
      <c r="V158" s="2908"/>
      <c r="Z158" s="1617">
        <v>158</v>
      </c>
    </row>
    <row r="159" spans="1:26" s="144" customFormat="1" ht="15" customHeight="1" thickBot="1">
      <c r="B159" s="475" t="s">
        <v>1737</v>
      </c>
      <c r="C159" s="256" t="s">
        <v>2991</v>
      </c>
      <c r="E159" s="256"/>
      <c r="H159" s="1157" t="s">
        <v>3716</v>
      </c>
      <c r="I159" s="3077"/>
      <c r="J159" s="3006"/>
      <c r="K159" s="3006"/>
      <c r="L159" s="3006"/>
      <c r="M159" s="3006"/>
      <c r="N159" s="3006"/>
      <c r="O159" s="3006"/>
      <c r="P159" s="3006"/>
      <c r="Q159" s="3006"/>
      <c r="R159" s="3006"/>
      <c r="S159" s="3008"/>
      <c r="U159" s="2908"/>
      <c r="V159" s="2908"/>
      <c r="Z159" s="1617">
        <v>159</v>
      </c>
    </row>
    <row r="160" spans="1:26" s="144" customFormat="1" ht="15" customHeight="1" thickBot="1">
      <c r="B160" s="475" t="s">
        <v>472</v>
      </c>
      <c r="C160" s="256" t="s">
        <v>2515</v>
      </c>
      <c r="E160" s="256"/>
      <c r="H160" s="1157" t="s">
        <v>3716</v>
      </c>
      <c r="I160" s="3077"/>
      <c r="J160" s="3006"/>
      <c r="K160" s="3006"/>
      <c r="L160" s="3006"/>
      <c r="M160" s="3006"/>
      <c r="N160" s="3006"/>
      <c r="O160" s="3006"/>
      <c r="P160" s="3006"/>
      <c r="Q160" s="3006"/>
      <c r="R160" s="3006"/>
      <c r="S160" s="3008"/>
      <c r="Z160" s="1617">
        <v>160</v>
      </c>
    </row>
    <row r="161" spans="1:26" s="144" customFormat="1" ht="15" customHeight="1" thickBot="1">
      <c r="B161" s="475" t="s">
        <v>473</v>
      </c>
      <c r="C161" s="256" t="s">
        <v>3767</v>
      </c>
      <c r="E161" s="256"/>
      <c r="H161" s="1157" t="s">
        <v>3716</v>
      </c>
      <c r="I161" s="3077"/>
      <c r="J161" s="3006"/>
      <c r="K161" s="3006"/>
      <c r="L161" s="3006"/>
      <c r="M161" s="3006"/>
      <c r="N161" s="3006"/>
      <c r="O161" s="3006"/>
      <c r="P161" s="3006"/>
      <c r="Q161" s="3006"/>
      <c r="R161" s="3006"/>
      <c r="S161" s="3008"/>
      <c r="Z161" s="1617">
        <v>161</v>
      </c>
    </row>
    <row r="162" spans="1:26" s="144" customFormat="1" ht="15" customHeight="1" thickBot="1">
      <c r="B162" s="475" t="s">
        <v>3766</v>
      </c>
      <c r="C162" s="2974" t="s">
        <v>4372</v>
      </c>
      <c r="D162" s="2975"/>
      <c r="E162" s="2975"/>
      <c r="F162" s="2975"/>
      <c r="G162" s="2976"/>
      <c r="H162" s="1157" t="s">
        <v>3716</v>
      </c>
      <c r="I162" s="3076"/>
      <c r="J162" s="3045"/>
      <c r="K162" s="3045"/>
      <c r="L162" s="3045"/>
      <c r="M162" s="3045"/>
      <c r="N162" s="3045"/>
      <c r="O162" s="3045"/>
      <c r="P162" s="3045"/>
      <c r="Q162" s="3045"/>
      <c r="R162" s="3045"/>
      <c r="S162" s="3047"/>
      <c r="Z162" s="1617">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7">
        <v>163</v>
      </c>
    </row>
    <row r="164" spans="1:26" s="144" customFormat="1" ht="2.25" customHeight="1">
      <c r="A164" s="243"/>
      <c r="B164" s="243"/>
      <c r="F164" s="243"/>
      <c r="G164" s="248"/>
      <c r="H164" s="248"/>
      <c r="I164" s="248"/>
      <c r="J164" s="248"/>
      <c r="K164" s="248"/>
      <c r="L164" s="248"/>
      <c r="M164" s="248"/>
      <c r="N164" s="248"/>
      <c r="O164" s="248"/>
      <c r="P164" s="248"/>
      <c r="Q164" s="248"/>
      <c r="Z164" s="1617">
        <v>164</v>
      </c>
    </row>
    <row r="165" spans="1:26" ht="13.35" customHeight="1">
      <c r="B165" s="243" t="s">
        <v>697</v>
      </c>
      <c r="C165" s="243" t="s">
        <v>3759</v>
      </c>
      <c r="Z165" s="1617">
        <v>165</v>
      </c>
    </row>
    <row r="166" spans="1:26" s="144" customFormat="1" ht="12.75" customHeight="1">
      <c r="A166" s="3009" t="s">
        <v>593</v>
      </c>
      <c r="B166" s="3010"/>
      <c r="C166" s="3010"/>
      <c r="D166" s="3010"/>
      <c r="E166" s="3015" t="s">
        <v>2979</v>
      </c>
      <c r="F166" s="3016"/>
      <c r="G166" s="3016"/>
      <c r="H166" s="3016"/>
      <c r="I166" s="3017"/>
      <c r="J166" s="3021" t="s">
        <v>2980</v>
      </c>
      <c r="K166" s="3024" t="s">
        <v>2571</v>
      </c>
      <c r="L166" s="3024" t="s">
        <v>2572</v>
      </c>
      <c r="M166" s="3027" t="s">
        <v>4373</v>
      </c>
      <c r="N166" s="3028"/>
      <c r="O166" s="3028"/>
      <c r="P166" s="3028"/>
      <c r="Q166" s="3028"/>
      <c r="R166" s="3028"/>
      <c r="S166" s="3029"/>
      <c r="Z166" s="1617">
        <v>166</v>
      </c>
    </row>
    <row r="167" spans="1:26" s="144" customFormat="1" ht="12.75" customHeight="1">
      <c r="A167" s="3011"/>
      <c r="B167" s="3012"/>
      <c r="C167" s="3012"/>
      <c r="D167" s="3012"/>
      <c r="E167" s="3018"/>
      <c r="F167" s="3019"/>
      <c r="G167" s="3019"/>
      <c r="H167" s="3019"/>
      <c r="I167" s="3020"/>
      <c r="J167" s="3022"/>
      <c r="K167" s="3025"/>
      <c r="L167" s="3025"/>
      <c r="M167" s="3030"/>
      <c r="N167" s="3031"/>
      <c r="O167" s="3031"/>
      <c r="P167" s="3031"/>
      <c r="Q167" s="3031"/>
      <c r="R167" s="3031"/>
      <c r="S167" s="3032"/>
      <c r="Z167" s="1617">
        <v>167</v>
      </c>
    </row>
    <row r="168" spans="1:26" s="144" customFormat="1" ht="12.75" customHeight="1">
      <c r="A168" s="3011"/>
      <c r="B168" s="3012"/>
      <c r="C168" s="3012"/>
      <c r="D168" s="3012"/>
      <c r="E168" s="3018"/>
      <c r="F168" s="3019"/>
      <c r="G168" s="3019"/>
      <c r="H168" s="3019"/>
      <c r="I168" s="3020"/>
      <c r="J168" s="3022"/>
      <c r="K168" s="3025"/>
      <c r="L168" s="3025"/>
      <c r="M168" s="3030"/>
      <c r="N168" s="3031"/>
      <c r="O168" s="3031"/>
      <c r="P168" s="3031"/>
      <c r="Q168" s="3031"/>
      <c r="R168" s="3031"/>
      <c r="S168" s="3032"/>
      <c r="Z168" s="1617">
        <v>168</v>
      </c>
    </row>
    <row r="169" spans="1:26" s="144" customFormat="1" ht="12.75" customHeight="1">
      <c r="A169" s="3011"/>
      <c r="B169" s="3012"/>
      <c r="C169" s="3012"/>
      <c r="D169" s="3012"/>
      <c r="E169" s="3033" t="s">
        <v>3133</v>
      </c>
      <c r="F169" s="3034"/>
      <c r="G169" s="3034"/>
      <c r="H169" s="3035"/>
      <c r="I169" s="480"/>
      <c r="J169" s="3022"/>
      <c r="K169" s="3025"/>
      <c r="L169" s="3025"/>
      <c r="M169" s="3030"/>
      <c r="N169" s="3031"/>
      <c r="O169" s="3031"/>
      <c r="P169" s="3031"/>
      <c r="Q169" s="3031"/>
      <c r="R169" s="3031"/>
      <c r="S169" s="3032"/>
      <c r="Z169" s="1617">
        <v>169</v>
      </c>
    </row>
    <row r="170" spans="1:26" s="144" customFormat="1" ht="13.5" customHeight="1">
      <c r="A170" s="3013"/>
      <c r="B170" s="3014"/>
      <c r="C170" s="3014"/>
      <c r="D170" s="3014"/>
      <c r="E170" s="3036"/>
      <c r="F170" s="3037"/>
      <c r="G170" s="3037"/>
      <c r="H170" s="3038"/>
      <c r="I170" s="1158" t="s">
        <v>2302</v>
      </c>
      <c r="J170" s="3023"/>
      <c r="K170" s="3026"/>
      <c r="L170" s="3025"/>
      <c r="M170" s="1159" t="s">
        <v>2302</v>
      </c>
      <c r="N170" s="3039" t="s">
        <v>2570</v>
      </c>
      <c r="O170" s="3039"/>
      <c r="P170" s="3039"/>
      <c r="Q170" s="3039"/>
      <c r="R170" s="3039"/>
      <c r="S170" s="3040"/>
      <c r="Z170" s="1617">
        <v>170</v>
      </c>
    </row>
    <row r="171" spans="1:26" s="144" customFormat="1" ht="23.25" customHeight="1">
      <c r="A171" s="2995" t="s">
        <v>2974</v>
      </c>
      <c r="B171" s="2996"/>
      <c r="C171" s="2996"/>
      <c r="D171" s="2997"/>
      <c r="E171" s="2998"/>
      <c r="F171" s="2999"/>
      <c r="G171" s="2999"/>
      <c r="H171" s="2999"/>
      <c r="I171" s="634" t="s">
        <v>3716</v>
      </c>
      <c r="J171" s="476" t="s">
        <v>3716</v>
      </c>
      <c r="K171" s="476"/>
      <c r="L171" s="637"/>
      <c r="M171" s="481" t="s">
        <v>3716</v>
      </c>
      <c r="N171" s="3000"/>
      <c r="O171" s="2999"/>
      <c r="P171" s="2999"/>
      <c r="Q171" s="2999"/>
      <c r="R171" s="2999"/>
      <c r="S171" s="3001"/>
      <c r="Z171" s="1617">
        <v>171</v>
      </c>
    </row>
    <row r="172" spans="1:26" s="144" customFormat="1" ht="23.25" customHeight="1">
      <c r="A172" s="3002" t="s">
        <v>2975</v>
      </c>
      <c r="B172" s="3003"/>
      <c r="C172" s="3003"/>
      <c r="D172" s="3004"/>
      <c r="E172" s="3005"/>
      <c r="F172" s="3006"/>
      <c r="G172" s="3006"/>
      <c r="H172" s="3006"/>
      <c r="I172" s="635" t="s">
        <v>3716</v>
      </c>
      <c r="J172" s="477" t="s">
        <v>3716</v>
      </c>
      <c r="K172" s="477"/>
      <c r="L172" s="638"/>
      <c r="M172" s="482" t="s">
        <v>3716</v>
      </c>
      <c r="N172" s="3007"/>
      <c r="O172" s="3006"/>
      <c r="P172" s="3006"/>
      <c r="Q172" s="3006"/>
      <c r="R172" s="3006"/>
      <c r="S172" s="3008"/>
      <c r="U172" s="2908" t="s">
        <v>1878</v>
      </c>
      <c r="V172" s="2908"/>
      <c r="Z172" s="1617">
        <v>172</v>
      </c>
    </row>
    <row r="173" spans="1:26" s="144" customFormat="1" ht="23.25" customHeight="1">
      <c r="A173" s="3002" t="s">
        <v>2976</v>
      </c>
      <c r="B173" s="3003"/>
      <c r="C173" s="3003"/>
      <c r="D173" s="3004"/>
      <c r="E173" s="3005"/>
      <c r="F173" s="3006"/>
      <c r="G173" s="3006"/>
      <c r="H173" s="3006"/>
      <c r="I173" s="635" t="s">
        <v>3716</v>
      </c>
      <c r="J173" s="477" t="s">
        <v>3716</v>
      </c>
      <c r="K173" s="477"/>
      <c r="L173" s="638"/>
      <c r="M173" s="482" t="s">
        <v>3716</v>
      </c>
      <c r="N173" s="3007"/>
      <c r="O173" s="3006"/>
      <c r="P173" s="3006"/>
      <c r="Q173" s="3006"/>
      <c r="R173" s="3006"/>
      <c r="S173" s="3008"/>
      <c r="U173" s="2908"/>
      <c r="V173" s="2908"/>
      <c r="Z173" s="1617">
        <v>173</v>
      </c>
    </row>
    <row r="174" spans="1:26" s="144" customFormat="1" ht="23.25" customHeight="1">
      <c r="A174" s="3002" t="s">
        <v>2977</v>
      </c>
      <c r="B174" s="3003"/>
      <c r="C174" s="3003"/>
      <c r="D174" s="3004"/>
      <c r="E174" s="3005"/>
      <c r="F174" s="3006"/>
      <c r="G174" s="3006"/>
      <c r="H174" s="3006"/>
      <c r="I174" s="635" t="s">
        <v>3716</v>
      </c>
      <c r="J174" s="477" t="s">
        <v>3716</v>
      </c>
      <c r="K174" s="477"/>
      <c r="L174" s="638"/>
      <c r="M174" s="482" t="s">
        <v>3716</v>
      </c>
      <c r="N174" s="3007"/>
      <c r="O174" s="3006"/>
      <c r="P174" s="3006"/>
      <c r="Q174" s="3006"/>
      <c r="R174" s="3006"/>
      <c r="S174" s="3008"/>
      <c r="U174" s="2908"/>
      <c r="V174" s="2908"/>
      <c r="Z174" s="1617">
        <v>174</v>
      </c>
    </row>
    <row r="175" spans="1:26" s="144" customFormat="1" ht="23.25" customHeight="1">
      <c r="A175" s="3002" t="s">
        <v>2978</v>
      </c>
      <c r="B175" s="3003"/>
      <c r="C175" s="3003"/>
      <c r="D175" s="3004"/>
      <c r="E175" s="3005"/>
      <c r="F175" s="3006"/>
      <c r="G175" s="3006"/>
      <c r="H175" s="3006"/>
      <c r="I175" s="635" t="s">
        <v>3716</v>
      </c>
      <c r="J175" s="477" t="s">
        <v>3716</v>
      </c>
      <c r="K175" s="477"/>
      <c r="L175" s="638"/>
      <c r="M175" s="482" t="s">
        <v>3716</v>
      </c>
      <c r="N175" s="3007"/>
      <c r="O175" s="3006"/>
      <c r="P175" s="3006"/>
      <c r="Q175" s="3006"/>
      <c r="R175" s="3006"/>
      <c r="S175" s="3008"/>
      <c r="U175" s="2908"/>
      <c r="V175" s="2908"/>
      <c r="Z175" s="1617">
        <v>175</v>
      </c>
    </row>
    <row r="176" spans="1:26" s="144" customFormat="1" ht="23.25" customHeight="1">
      <c r="A176" s="3002" t="s">
        <v>2561</v>
      </c>
      <c r="B176" s="3003"/>
      <c r="C176" s="3003"/>
      <c r="D176" s="3004"/>
      <c r="E176" s="3005"/>
      <c r="F176" s="3006"/>
      <c r="G176" s="3006"/>
      <c r="H176" s="3006"/>
      <c r="I176" s="635" t="s">
        <v>3716</v>
      </c>
      <c r="J176" s="477" t="s">
        <v>3716</v>
      </c>
      <c r="K176" s="477"/>
      <c r="L176" s="638"/>
      <c r="M176" s="482" t="s">
        <v>3716</v>
      </c>
      <c r="N176" s="3007"/>
      <c r="O176" s="3006"/>
      <c r="P176" s="3006"/>
      <c r="Q176" s="3006"/>
      <c r="R176" s="3006"/>
      <c r="S176" s="3008"/>
      <c r="U176" s="2908"/>
      <c r="V176" s="2908"/>
      <c r="Z176" s="1617">
        <v>176</v>
      </c>
    </row>
    <row r="177" spans="1:26" s="144" customFormat="1" ht="23.25" customHeight="1">
      <c r="A177" s="3002" t="s">
        <v>606</v>
      </c>
      <c r="B177" s="3003"/>
      <c r="C177" s="3003"/>
      <c r="D177" s="3004"/>
      <c r="E177" s="3005"/>
      <c r="F177" s="3006"/>
      <c r="G177" s="3006"/>
      <c r="H177" s="3006"/>
      <c r="I177" s="635" t="s">
        <v>3716</v>
      </c>
      <c r="J177" s="477" t="s">
        <v>3716</v>
      </c>
      <c r="K177" s="477"/>
      <c r="L177" s="638"/>
      <c r="M177" s="482" t="s">
        <v>3716</v>
      </c>
      <c r="N177" s="3007"/>
      <c r="O177" s="3006"/>
      <c r="P177" s="3006"/>
      <c r="Q177" s="3006"/>
      <c r="R177" s="3006"/>
      <c r="S177" s="3008"/>
      <c r="U177" s="2908"/>
      <c r="V177" s="2908"/>
      <c r="Z177" s="1617">
        <v>177</v>
      </c>
    </row>
    <row r="178" spans="1:26" s="144" customFormat="1" ht="23.25" customHeight="1">
      <c r="A178" s="3002" t="s">
        <v>2562</v>
      </c>
      <c r="B178" s="3003"/>
      <c r="C178" s="3003"/>
      <c r="D178" s="3004"/>
      <c r="E178" s="3005"/>
      <c r="F178" s="3006"/>
      <c r="G178" s="3006"/>
      <c r="H178" s="3006"/>
      <c r="I178" s="635" t="s">
        <v>3716</v>
      </c>
      <c r="J178" s="477" t="s">
        <v>3716</v>
      </c>
      <c r="K178" s="477"/>
      <c r="L178" s="638"/>
      <c r="M178" s="482" t="s">
        <v>3716</v>
      </c>
      <c r="N178" s="3007"/>
      <c r="O178" s="3006"/>
      <c r="P178" s="3006"/>
      <c r="Q178" s="3006"/>
      <c r="R178" s="3006"/>
      <c r="S178" s="3008"/>
      <c r="Z178" s="1617">
        <v>178</v>
      </c>
    </row>
    <row r="179" spans="1:26" s="144" customFormat="1" ht="23.25" customHeight="1">
      <c r="A179" s="3002" t="s">
        <v>2563</v>
      </c>
      <c r="B179" s="3003"/>
      <c r="C179" s="3003"/>
      <c r="D179" s="3004"/>
      <c r="E179" s="3005"/>
      <c r="F179" s="3006"/>
      <c r="G179" s="3006"/>
      <c r="H179" s="3006"/>
      <c r="I179" s="635" t="s">
        <v>3716</v>
      </c>
      <c r="J179" s="477" t="s">
        <v>3716</v>
      </c>
      <c r="K179" s="477"/>
      <c r="L179" s="638"/>
      <c r="M179" s="482" t="s">
        <v>3716</v>
      </c>
      <c r="N179" s="3007"/>
      <c r="O179" s="3006"/>
      <c r="P179" s="3006"/>
      <c r="Q179" s="3006"/>
      <c r="R179" s="3006"/>
      <c r="S179" s="3008"/>
      <c r="Z179" s="1617">
        <v>179</v>
      </c>
    </row>
    <row r="180" spans="1:26" s="144" customFormat="1" ht="23.25" customHeight="1">
      <c r="A180" s="3002" t="s">
        <v>2565</v>
      </c>
      <c r="B180" s="3003"/>
      <c r="C180" s="3003"/>
      <c r="D180" s="3004"/>
      <c r="E180" s="3005"/>
      <c r="F180" s="3006"/>
      <c r="G180" s="3006"/>
      <c r="H180" s="3006"/>
      <c r="I180" s="635" t="s">
        <v>3716</v>
      </c>
      <c r="J180" s="477" t="s">
        <v>3716</v>
      </c>
      <c r="K180" s="477"/>
      <c r="L180" s="638"/>
      <c r="M180" s="482" t="s">
        <v>3716</v>
      </c>
      <c r="N180" s="3007"/>
      <c r="O180" s="3006"/>
      <c r="P180" s="3006"/>
      <c r="Q180" s="3006"/>
      <c r="R180" s="3006"/>
      <c r="S180" s="3008"/>
      <c r="Z180" s="1617">
        <v>180</v>
      </c>
    </row>
    <row r="181" spans="1:26" s="144" customFormat="1" ht="23.25" customHeight="1">
      <c r="A181" s="3002" t="s">
        <v>2564</v>
      </c>
      <c r="B181" s="3003"/>
      <c r="C181" s="3003"/>
      <c r="D181" s="3004"/>
      <c r="E181" s="3005"/>
      <c r="F181" s="3006"/>
      <c r="G181" s="3006"/>
      <c r="H181" s="3006"/>
      <c r="I181" s="635" t="s">
        <v>3716</v>
      </c>
      <c r="J181" s="477" t="s">
        <v>3716</v>
      </c>
      <c r="K181" s="477"/>
      <c r="L181" s="638"/>
      <c r="M181" s="482" t="s">
        <v>3716</v>
      </c>
      <c r="N181" s="3007"/>
      <c r="O181" s="3006"/>
      <c r="P181" s="3006"/>
      <c r="Q181" s="3006"/>
      <c r="R181" s="3006"/>
      <c r="S181" s="3008"/>
      <c r="Z181" s="1617">
        <v>181</v>
      </c>
    </row>
    <row r="182" spans="1:26" s="144" customFormat="1" ht="23.25" customHeight="1">
      <c r="A182" s="3002" t="s">
        <v>1429</v>
      </c>
      <c r="B182" s="3003"/>
      <c r="C182" s="3003"/>
      <c r="D182" s="3004"/>
      <c r="E182" s="3005"/>
      <c r="F182" s="3006"/>
      <c r="G182" s="3006"/>
      <c r="H182" s="3006"/>
      <c r="I182" s="635" t="s">
        <v>3716</v>
      </c>
      <c r="J182" s="477" t="s">
        <v>3716</v>
      </c>
      <c r="K182" s="477"/>
      <c r="L182" s="638"/>
      <c r="M182" s="482" t="s">
        <v>3716</v>
      </c>
      <c r="N182" s="3007"/>
      <c r="O182" s="3006"/>
      <c r="P182" s="3006"/>
      <c r="Q182" s="3006"/>
      <c r="R182" s="3006"/>
      <c r="S182" s="3008"/>
      <c r="Z182" s="1617">
        <v>182</v>
      </c>
    </row>
    <row r="183" spans="1:26" s="144" customFormat="1" ht="23.25" customHeight="1">
      <c r="A183" s="3041" t="s">
        <v>2566</v>
      </c>
      <c r="B183" s="3042"/>
      <c r="C183" s="3042"/>
      <c r="D183" s="3043"/>
      <c r="E183" s="3044"/>
      <c r="F183" s="3045"/>
      <c r="G183" s="3045"/>
      <c r="H183" s="3045"/>
      <c r="I183" s="636" t="s">
        <v>3716</v>
      </c>
      <c r="J183" s="478" t="s">
        <v>3716</v>
      </c>
      <c r="K183" s="478"/>
      <c r="L183" s="639"/>
      <c r="M183" s="483" t="s">
        <v>3716</v>
      </c>
      <c r="N183" s="3046"/>
      <c r="O183" s="3045"/>
      <c r="P183" s="3045"/>
      <c r="Q183" s="3045"/>
      <c r="R183" s="3045"/>
      <c r="S183" s="3047"/>
      <c r="Z183" s="1617">
        <v>183</v>
      </c>
    </row>
    <row r="184" spans="1:26" s="144" customFormat="1" ht="12" customHeight="1">
      <c r="G184" s="243"/>
      <c r="H184" s="243"/>
      <c r="I184" s="243"/>
      <c r="J184" s="248"/>
      <c r="K184" s="254" t="s">
        <v>503</v>
      </c>
      <c r="L184" s="428">
        <f>SUM(L171:L183)</f>
        <v>0</v>
      </c>
      <c r="M184" s="248"/>
      <c r="P184" s="145"/>
      <c r="Z184" s="1617">
        <v>184</v>
      </c>
    </row>
    <row r="185" spans="1:26" ht="11.25" customHeight="1">
      <c r="A185" s="253" t="s">
        <v>495</v>
      </c>
      <c r="B185" s="253"/>
      <c r="C185" s="253" t="s">
        <v>529</v>
      </c>
      <c r="N185" s="253" t="s">
        <v>495</v>
      </c>
      <c r="O185" s="253" t="s">
        <v>74</v>
      </c>
      <c r="Z185" s="1617">
        <v>185</v>
      </c>
    </row>
    <row r="186" spans="1:26" ht="105.75" customHeight="1">
      <c r="A186" s="3048"/>
      <c r="B186" s="3049"/>
      <c r="C186" s="3049"/>
      <c r="D186" s="3049"/>
      <c r="E186" s="3049"/>
      <c r="F186" s="3049"/>
      <c r="G186" s="3049"/>
      <c r="H186" s="3049"/>
      <c r="I186" s="3049"/>
      <c r="J186" s="3049"/>
      <c r="K186" s="3049"/>
      <c r="L186" s="3049"/>
      <c r="M186" s="3050"/>
      <c r="N186" s="3051"/>
      <c r="O186" s="3052"/>
      <c r="P186" s="3052"/>
      <c r="Q186" s="3052"/>
      <c r="R186" s="3052"/>
      <c r="S186" s="3053"/>
      <c r="T186" s="2908" t="s">
        <v>2445</v>
      </c>
      <c r="U186" s="2908"/>
      <c r="V186" s="2908"/>
      <c r="W186" s="2908"/>
      <c r="X186" s="2908"/>
      <c r="Z186" s="1617">
        <v>186</v>
      </c>
    </row>
    <row r="187" spans="1:26" s="144" customFormat="1" ht="12" customHeight="1">
      <c r="A187" s="222"/>
      <c r="B187" s="145"/>
      <c r="C187" s="145"/>
      <c r="D187" s="145"/>
      <c r="E187" s="145"/>
      <c r="F187" s="145"/>
      <c r="G187" s="145"/>
      <c r="H187" s="145"/>
      <c r="I187" s="145"/>
      <c r="J187" s="145"/>
      <c r="K187" s="145"/>
      <c r="L187" s="145"/>
      <c r="M187" s="145"/>
      <c r="N187" s="145"/>
      <c r="O187" s="145"/>
      <c r="T187" s="2908"/>
      <c r="U187" s="2908"/>
      <c r="V187" s="2908"/>
      <c r="W187" s="2908"/>
      <c r="X187" s="2908"/>
      <c r="Z187" s="1617"/>
    </row>
    <row r="188" spans="1:26" s="144" customFormat="1" ht="12" customHeight="1">
      <c r="A188" s="374"/>
      <c r="B188" s="145"/>
      <c r="C188" s="145"/>
      <c r="D188" s="145"/>
      <c r="E188" s="145"/>
      <c r="F188" s="145"/>
      <c r="G188" s="145"/>
      <c r="H188" s="145"/>
      <c r="I188" s="145"/>
      <c r="J188" s="145"/>
      <c r="K188" s="145"/>
      <c r="L188" s="145"/>
      <c r="M188" s="145"/>
      <c r="N188" s="145"/>
      <c r="O188" s="145"/>
      <c r="Z188" s="1617"/>
    </row>
    <row r="189" spans="1:26" s="144" customFormat="1" ht="12" customHeight="1">
      <c r="A189" s="222"/>
      <c r="B189" s="145"/>
      <c r="C189" s="145"/>
      <c r="D189" s="145"/>
      <c r="E189" s="145"/>
      <c r="F189" s="145"/>
      <c r="G189" s="145"/>
      <c r="H189" s="145"/>
      <c r="I189" s="145"/>
      <c r="J189" s="145"/>
      <c r="K189" s="145"/>
      <c r="L189" s="145"/>
      <c r="M189" s="145"/>
      <c r="N189" s="145"/>
      <c r="O189" s="145"/>
      <c r="Z189" s="1617"/>
    </row>
    <row r="190" spans="1:26" s="144" customFormat="1" ht="12" customHeight="1">
      <c r="A190" s="222"/>
      <c r="B190" s="145"/>
      <c r="C190" s="145"/>
      <c r="D190" s="145"/>
      <c r="E190" s="145"/>
      <c r="F190" s="145"/>
      <c r="G190" s="145"/>
      <c r="H190" s="145"/>
      <c r="I190" s="145"/>
      <c r="J190" s="145"/>
      <c r="K190" s="145"/>
      <c r="L190" s="145"/>
      <c r="M190" s="145"/>
      <c r="N190" s="145"/>
      <c r="O190" s="145"/>
      <c r="Z190" s="1617"/>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7"/>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7"/>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7"/>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7"/>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7"/>
    </row>
    <row r="196" spans="1:26" s="144" customFormat="1" ht="12" customHeight="1">
      <c r="B196" s="145"/>
      <c r="C196" s="145"/>
      <c r="D196" s="145"/>
      <c r="E196" s="145"/>
      <c r="F196" s="145"/>
      <c r="G196" s="145"/>
      <c r="H196" s="145"/>
      <c r="I196" s="145"/>
      <c r="J196" s="145"/>
      <c r="K196" s="145"/>
      <c r="L196" s="145"/>
      <c r="M196" s="145"/>
      <c r="N196" s="145"/>
      <c r="O196" s="145"/>
      <c r="P196" s="275" t="s">
        <v>784</v>
      </c>
      <c r="Z196" s="1617"/>
    </row>
    <row r="197" spans="1:26" s="144" customFormat="1" ht="12" customHeight="1">
      <c r="B197" s="145"/>
      <c r="C197" s="145"/>
      <c r="D197" s="145"/>
      <c r="E197" s="145"/>
      <c r="F197" s="145"/>
      <c r="G197" s="145"/>
      <c r="H197" s="145"/>
      <c r="I197" s="145"/>
      <c r="J197" s="145"/>
      <c r="K197" s="145"/>
      <c r="L197" s="145"/>
      <c r="M197" s="145"/>
      <c r="N197" s="145"/>
      <c r="O197" s="145"/>
      <c r="P197" s="275" t="s">
        <v>785</v>
      </c>
      <c r="Z197" s="1617"/>
    </row>
    <row r="198" spans="1:26" s="144" customFormat="1" ht="12" customHeight="1">
      <c r="B198" s="145"/>
      <c r="C198" s="145"/>
      <c r="D198" s="145"/>
      <c r="E198" s="145"/>
      <c r="F198" s="145"/>
      <c r="G198" s="145"/>
      <c r="H198" s="145"/>
      <c r="I198" s="145"/>
      <c r="J198" s="145"/>
      <c r="K198" s="145"/>
      <c r="L198" s="145"/>
      <c r="M198" s="145"/>
      <c r="N198" s="145"/>
      <c r="O198" s="145"/>
      <c r="P198" s="275" t="s">
        <v>786</v>
      </c>
      <c r="Z198" s="1617"/>
    </row>
    <row r="199" spans="1:26" s="144" customFormat="1" ht="12" customHeight="1">
      <c r="B199" s="145"/>
      <c r="C199" s="145"/>
      <c r="D199" s="145"/>
      <c r="E199" s="145"/>
      <c r="F199" s="145"/>
      <c r="G199" s="145"/>
      <c r="H199" s="145"/>
      <c r="I199" s="145"/>
      <c r="J199" s="145"/>
      <c r="K199" s="145"/>
      <c r="L199" s="145"/>
      <c r="M199" s="145"/>
      <c r="N199" s="145"/>
      <c r="O199" s="145"/>
      <c r="P199" s="275" t="s">
        <v>787</v>
      </c>
      <c r="Z199" s="1617"/>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Redland Trace</v>
      </c>
    </row>
    <row r="2" spans="1:14">
      <c r="A2" s="549" t="s">
        <v>2873</v>
      </c>
      <c r="H2" s="431" t="str">
        <f>'Sensitivity Analysis'!E8</f>
        <v>2024-0</v>
      </c>
    </row>
    <row r="3" spans="1:14" ht="3" customHeight="1"/>
    <row r="4" spans="1:14" ht="69.599999999999994" customHeight="1">
      <c r="A4" s="4732" t="s">
        <v>2911</v>
      </c>
      <c r="B4" s="4732"/>
      <c r="C4" s="4732"/>
      <c r="D4" s="4732"/>
      <c r="E4" s="4732"/>
      <c r="F4" s="4732"/>
      <c r="G4" s="4732"/>
      <c r="H4" s="4732"/>
      <c r="I4" s="4732"/>
      <c r="J4" s="4732"/>
      <c r="K4" s="4732"/>
      <c r="L4" s="4739">
        <f>SUM('Part VI-Pro Forma'!B15:B17)/12</f>
        <v>96738.599999999991</v>
      </c>
      <c r="M4" s="4739"/>
      <c r="N4" s="1408" t="s">
        <v>3545</v>
      </c>
    </row>
    <row r="5" spans="1:14" ht="1.5" customHeight="1"/>
    <row r="6" spans="1:14" ht="12.75" customHeight="1">
      <c r="B6" s="623" t="s">
        <v>2234</v>
      </c>
      <c r="C6" s="605" t="s">
        <v>2874</v>
      </c>
      <c r="D6" s="605"/>
      <c r="E6" s="605"/>
      <c r="F6" s="605"/>
      <c r="G6" s="605"/>
      <c r="H6" s="605"/>
    </row>
    <row r="7" spans="1:14" ht="12.75" customHeight="1">
      <c r="B7" s="623" t="s">
        <v>2235</v>
      </c>
      <c r="C7" s="4732" t="s">
        <v>2875</v>
      </c>
      <c r="D7" s="4732"/>
      <c r="E7" s="4732"/>
      <c r="F7" s="4732"/>
      <c r="G7" s="4732"/>
      <c r="H7" s="4732"/>
      <c r="I7" s="4732"/>
      <c r="J7" s="4732"/>
      <c r="K7" s="4732"/>
      <c r="L7" s="4732"/>
      <c r="M7" s="4732"/>
    </row>
    <row r="8" spans="1:14" ht="3" customHeight="1"/>
    <row r="9" spans="1:14">
      <c r="A9" s="431" t="s">
        <v>2876</v>
      </c>
    </row>
    <row r="10" spans="1:14" ht="1.5" customHeight="1"/>
    <row r="11" spans="1:14" ht="26.25" customHeight="1">
      <c r="A11" s="624" t="s">
        <v>1836</v>
      </c>
      <c r="B11" s="4732" t="s">
        <v>2908</v>
      </c>
      <c r="C11" s="4732"/>
      <c r="D11" s="4732"/>
      <c r="E11" s="4732"/>
      <c r="F11" s="4732"/>
      <c r="G11" s="4732"/>
      <c r="H11" s="4732"/>
      <c r="I11" s="4732"/>
      <c r="J11" s="4732"/>
      <c r="K11" s="4732"/>
      <c r="L11" s="4733">
        <f>'Part II-Sources of Funds'!I51+'Part II-Sources of Funds'!I52</f>
        <v>19978758</v>
      </c>
      <c r="M11" s="4733"/>
    </row>
    <row r="12" spans="1:14" ht="1.5" customHeight="1">
      <c r="G12" s="605"/>
      <c r="H12" s="605"/>
    </row>
    <row r="13" spans="1:14" ht="25.9" customHeight="1">
      <c r="A13" s="624" t="s">
        <v>1838</v>
      </c>
      <c r="B13" s="4732" t="s">
        <v>2909</v>
      </c>
      <c r="C13" s="4732"/>
      <c r="D13" s="4732"/>
      <c r="E13" s="4732"/>
      <c r="F13" s="4732"/>
      <c r="G13" s="4732"/>
      <c r="H13" s="4732"/>
      <c r="I13" s="4732"/>
      <c r="J13" s="4732"/>
      <c r="K13" s="4732"/>
      <c r="L13" s="4734" t="s">
        <v>2804</v>
      </c>
      <c r="M13" s="4734"/>
    </row>
    <row r="14" spans="1:14">
      <c r="A14" s="624"/>
      <c r="B14" s="4698"/>
      <c r="C14" s="4698"/>
      <c r="D14" s="4698"/>
      <c r="E14" s="4698"/>
      <c r="F14" s="4698"/>
      <c r="G14" s="4698"/>
      <c r="H14" s="4698"/>
    </row>
    <row r="15" spans="1:14" ht="3" customHeight="1"/>
    <row r="16" spans="1:14">
      <c r="A16" s="624" t="s">
        <v>697</v>
      </c>
      <c r="B16" s="431" t="s">
        <v>2912</v>
      </c>
      <c r="L16" s="4735" t="s">
        <v>2644</v>
      </c>
      <c r="M16" s="4735"/>
    </row>
    <row r="17" spans="1:19" ht="1.5" customHeight="1">
      <c r="L17" s="608"/>
    </row>
    <row r="18" spans="1:19" ht="12" customHeight="1">
      <c r="A18" s="624" t="s">
        <v>1957</v>
      </c>
      <c r="B18" s="605" t="s">
        <v>2910</v>
      </c>
      <c r="C18" s="624"/>
      <c r="D18" s="624"/>
      <c r="E18" s="624"/>
      <c r="L18" s="4698" t="s">
        <v>2507</v>
      </c>
      <c r="M18" s="4698"/>
    </row>
    <row r="19" spans="1:19" ht="12" hidden="1" customHeight="1">
      <c r="B19" s="4698"/>
      <c r="C19" s="4698"/>
      <c r="D19" s="4698"/>
      <c r="E19" s="4698"/>
      <c r="F19" s="4698"/>
      <c r="G19" s="4698"/>
      <c r="H19" s="4698"/>
    </row>
    <row r="20" spans="1:19" ht="13.5" customHeight="1"/>
    <row r="21" spans="1:19" ht="12" customHeight="1">
      <c r="A21" s="549" t="s">
        <v>2877</v>
      </c>
    </row>
    <row r="22" spans="1:19" ht="3" customHeight="1"/>
    <row r="23" spans="1:19" ht="42.6" customHeight="1">
      <c r="A23" s="4736" t="s">
        <v>3951</v>
      </c>
      <c r="B23" s="4736"/>
      <c r="C23" s="4736"/>
      <c r="D23" s="4736"/>
      <c r="E23" s="4736"/>
      <c r="F23" s="4736"/>
      <c r="G23" s="4736"/>
      <c r="H23" s="4736"/>
      <c r="I23" s="4736"/>
      <c r="J23" s="4736"/>
      <c r="K23" s="4736"/>
      <c r="L23" s="4736"/>
      <c r="M23" s="4736"/>
    </row>
    <row r="24" spans="1:19" ht="18" customHeight="1">
      <c r="E24" s="604" t="s">
        <v>525</v>
      </c>
      <c r="F24" s="604" t="s">
        <v>499</v>
      </c>
      <c r="G24" s="604" t="s">
        <v>500</v>
      </c>
      <c r="H24" s="604" t="s">
        <v>501</v>
      </c>
      <c r="I24" s="604" t="s">
        <v>502</v>
      </c>
      <c r="J24" s="604" t="s">
        <v>503</v>
      </c>
      <c r="K24" s="431"/>
      <c r="S24" s="431"/>
    </row>
    <row r="25" spans="1:19" ht="14.25" customHeight="1">
      <c r="C25" s="723" t="s">
        <v>3558</v>
      </c>
      <c r="D25" s="438"/>
      <c r="E25" s="1495">
        <f>'Part V-Revenues &amp; Expenses'!K56</f>
        <v>0</v>
      </c>
      <c r="F25" s="1496">
        <f>'Part V-Revenues &amp; Expenses'!L56</f>
        <v>0</v>
      </c>
      <c r="G25" s="1496">
        <f>'Part V-Revenues &amp; Expenses'!M56</f>
        <v>0</v>
      </c>
      <c r="H25" s="1496">
        <f>'Part V-Revenues &amp; Expenses'!N56</f>
        <v>0</v>
      </c>
      <c r="I25" s="1496">
        <f>'Part V-Revenues &amp; Expenses'!O56</f>
        <v>0</v>
      </c>
      <c r="J25" s="2454">
        <f>'Part V-Revenues &amp; Expenses'!P56</f>
        <v>0</v>
      </c>
      <c r="K25" s="431"/>
      <c r="S25" s="431"/>
    </row>
    <row r="26" spans="1:19" ht="15" customHeight="1">
      <c r="C26" s="723" t="s">
        <v>3559</v>
      </c>
      <c r="D26" s="438"/>
      <c r="E26" s="1497">
        <f>'Part V-Revenues &amp; Expenses'!K57</f>
        <v>0</v>
      </c>
      <c r="F26" s="1498">
        <f>'Part V-Revenues &amp; Expenses'!L57</f>
        <v>0</v>
      </c>
      <c r="G26" s="1498">
        <f>'Part V-Revenues &amp; Expenses'!M57</f>
        <v>0</v>
      </c>
      <c r="H26" s="1498">
        <f>'Part V-Revenues &amp; Expenses'!N57</f>
        <v>0</v>
      </c>
      <c r="I26" s="1498">
        <f>'Part V-Revenues &amp; Expenses'!O57</f>
        <v>0</v>
      </c>
      <c r="J26" s="2455">
        <f>'Part V-Revenues &amp; Expenses'!P57</f>
        <v>0</v>
      </c>
      <c r="K26" s="431"/>
      <c r="S26" s="431"/>
    </row>
    <row r="27" spans="1:19" ht="15" customHeight="1">
      <c r="C27" s="723" t="s">
        <v>1080</v>
      </c>
      <c r="D27" s="438"/>
      <c r="E27" s="1497">
        <f>'Part V-Revenues &amp; Expenses'!K58</f>
        <v>0</v>
      </c>
      <c r="F27" s="1498">
        <f>'Part V-Revenues &amp; Expenses'!L58</f>
        <v>9</v>
      </c>
      <c r="G27" s="1498">
        <f>'Part V-Revenues &amp; Expenses'!M58</f>
        <v>19</v>
      </c>
      <c r="H27" s="1498">
        <f>'Part V-Revenues &amp; Expenses'!N58</f>
        <v>19</v>
      </c>
      <c r="I27" s="1498">
        <f>'Part V-Revenues &amp; Expenses'!O58</f>
        <v>0</v>
      </c>
      <c r="J27" s="2455">
        <f>'Part V-Revenues &amp; Expenses'!P58</f>
        <v>47</v>
      </c>
      <c r="K27" s="431"/>
      <c r="S27" s="431"/>
    </row>
    <row r="28" spans="1:19" ht="15" customHeight="1">
      <c r="C28" s="723" t="s">
        <v>112</v>
      </c>
      <c r="D28" s="438"/>
      <c r="E28" s="1497">
        <f>'Part V-Revenues &amp; Expenses'!K59</f>
        <v>0</v>
      </c>
      <c r="F28" s="1498">
        <f>'Part V-Revenues &amp; Expenses'!L59</f>
        <v>3</v>
      </c>
      <c r="G28" s="1498">
        <f>'Part V-Revenues &amp; Expenses'!M59</f>
        <v>5</v>
      </c>
      <c r="H28" s="1498">
        <f>'Part V-Revenues &amp; Expenses'!N59</f>
        <v>5</v>
      </c>
      <c r="I28" s="1498">
        <f>'Part V-Revenues &amp; Expenses'!O59</f>
        <v>0</v>
      </c>
      <c r="J28" s="2455">
        <f>'Part V-Revenues &amp; Expenses'!P59</f>
        <v>13</v>
      </c>
      <c r="K28" s="431"/>
      <c r="S28" s="431"/>
    </row>
    <row r="29" spans="1:19" ht="13.15" customHeight="1">
      <c r="C29" s="723" t="s">
        <v>3560</v>
      </c>
      <c r="D29" s="438"/>
      <c r="E29" s="1497">
        <f>'Part V-Revenues &amp; Expenses'!K60</f>
        <v>0</v>
      </c>
      <c r="F29" s="1498">
        <f>'Part V-Revenues &amp; Expenses'!L60</f>
        <v>0</v>
      </c>
      <c r="G29" s="1498">
        <f>'Part V-Revenues &amp; Expenses'!M60</f>
        <v>0</v>
      </c>
      <c r="H29" s="1498">
        <f>'Part V-Revenues &amp; Expenses'!N60</f>
        <v>0</v>
      </c>
      <c r="I29" s="1498">
        <f>'Part V-Revenues &amp; Expenses'!O60</f>
        <v>0</v>
      </c>
      <c r="J29" s="2455">
        <f>'Part V-Revenues &amp; Expenses'!P60</f>
        <v>0</v>
      </c>
      <c r="K29" s="431"/>
      <c r="S29" s="431"/>
    </row>
    <row r="30" spans="1:19" ht="13.15" customHeight="1">
      <c r="C30" s="723" t="s">
        <v>3561</v>
      </c>
      <c r="D30" s="438"/>
      <c r="E30" s="1497">
        <f>'Part V-Revenues &amp; Expenses'!K61</f>
        <v>0</v>
      </c>
      <c r="F30" s="1498">
        <f>'Part V-Revenues &amp; Expenses'!L61</f>
        <v>0</v>
      </c>
      <c r="G30" s="1498">
        <f>'Part V-Revenues &amp; Expenses'!M61</f>
        <v>0</v>
      </c>
      <c r="H30" s="1498">
        <f>'Part V-Revenues &amp; Expenses'!N61</f>
        <v>0</v>
      </c>
      <c r="I30" s="1498">
        <f>'Part V-Revenues &amp; Expenses'!O61</f>
        <v>0</v>
      </c>
      <c r="J30" s="2455">
        <f>'Part V-Revenues &amp; Expenses'!P61</f>
        <v>0</v>
      </c>
      <c r="K30" s="431"/>
      <c r="S30" s="431"/>
    </row>
    <row r="31" spans="1:19" ht="13.15" customHeight="1">
      <c r="C31" s="723" t="s">
        <v>3562</v>
      </c>
      <c r="D31" s="438"/>
      <c r="E31" s="1497">
        <f>'Part V-Revenues &amp; Expenses'!K62</f>
        <v>0</v>
      </c>
      <c r="F31" s="1498">
        <f>'Part V-Revenues &amp; Expenses'!L62</f>
        <v>0</v>
      </c>
      <c r="G31" s="1498">
        <f>'Part V-Revenues &amp; Expenses'!M62</f>
        <v>0</v>
      </c>
      <c r="H31" s="1498">
        <f>'Part V-Revenues &amp; Expenses'!N62</f>
        <v>0</v>
      </c>
      <c r="I31" s="1498">
        <f>'Part V-Revenues &amp; Expenses'!O62</f>
        <v>0</v>
      </c>
      <c r="J31" s="2455">
        <f>'Part V-Revenues &amp; Expenses'!P62</f>
        <v>0</v>
      </c>
      <c r="K31" s="431"/>
      <c r="S31" s="431"/>
    </row>
    <row r="32" spans="1:19" ht="13.15" customHeight="1">
      <c r="C32" s="438" t="s">
        <v>503</v>
      </c>
      <c r="D32" s="438"/>
      <c r="E32" s="2456">
        <f>'Part V-Revenues &amp; Expenses'!K63</f>
        <v>0</v>
      </c>
      <c r="F32" s="2457">
        <f>'Part V-Revenues &amp; Expenses'!L63</f>
        <v>12</v>
      </c>
      <c r="G32" s="2457">
        <f>'Part V-Revenues &amp; Expenses'!M63</f>
        <v>24</v>
      </c>
      <c r="H32" s="2457">
        <f>'Part V-Revenues &amp; Expenses'!N63</f>
        <v>24</v>
      </c>
      <c r="I32" s="2457">
        <f>'Part V-Revenues &amp; Expenses'!O63</f>
        <v>0</v>
      </c>
      <c r="J32" s="1499">
        <f>'Part V-Revenues &amp; Expenses'!P63</f>
        <v>60</v>
      </c>
      <c r="K32" s="431"/>
      <c r="S32" s="431"/>
    </row>
    <row r="33" spans="1:12" s="431" customFormat="1" ht="13.15" customHeight="1" thickBot="1">
      <c r="K33" s="1407"/>
    </row>
    <row r="34" spans="1:12" s="431" customFormat="1" ht="14.25" customHeight="1" thickBot="1">
      <c r="A34" s="1407"/>
      <c r="B34" s="4746" t="s">
        <v>4070</v>
      </c>
      <c r="E34" s="4747" t="s">
        <v>3970</v>
      </c>
      <c r="F34" s="4748"/>
      <c r="G34" s="4748"/>
      <c r="H34" s="4748"/>
      <c r="I34" s="4748"/>
      <c r="J34" s="4748"/>
      <c r="K34" s="4748"/>
      <c r="L34" s="4749"/>
    </row>
    <row r="35" spans="1:12" s="431" customFormat="1" ht="14.25" customHeight="1">
      <c r="A35" s="1407"/>
      <c r="B35" s="4746"/>
      <c r="C35" s="4750" t="s">
        <v>4071</v>
      </c>
      <c r="D35" s="4746" t="s">
        <v>4072</v>
      </c>
      <c r="E35" s="4751" t="s">
        <v>3973</v>
      </c>
      <c r="F35" s="4752"/>
      <c r="G35" s="4755" t="s">
        <v>1273</v>
      </c>
      <c r="H35" s="4757" t="s">
        <v>3969</v>
      </c>
      <c r="I35" s="4758"/>
      <c r="J35" s="4758"/>
      <c r="K35" s="4758"/>
      <c r="L35" s="4759"/>
    </row>
    <row r="36" spans="1:12" s="431" customFormat="1" ht="23.25" customHeight="1">
      <c r="A36" s="4750" t="s">
        <v>974</v>
      </c>
      <c r="B36" s="4746"/>
      <c r="C36" s="4750"/>
      <c r="D36" s="4746"/>
      <c r="E36" s="4753"/>
      <c r="F36" s="4754"/>
      <c r="G36" s="4756"/>
      <c r="H36" s="4760" t="s">
        <v>3971</v>
      </c>
      <c r="I36" s="4761"/>
      <c r="J36" s="4764" t="s">
        <v>1273</v>
      </c>
      <c r="K36" s="4761" t="s">
        <v>3972</v>
      </c>
      <c r="L36" s="4766"/>
    </row>
    <row r="37" spans="1:12" s="431" customFormat="1" ht="23.25" customHeight="1">
      <c r="A37" s="4750"/>
      <c r="B37" s="4746"/>
      <c r="C37" s="4750"/>
      <c r="D37" s="4746"/>
      <c r="E37" s="4753"/>
      <c r="F37" s="4754"/>
      <c r="G37" s="4756"/>
      <c r="H37" s="4760"/>
      <c r="I37" s="4761"/>
      <c r="J37" s="4765"/>
      <c r="K37" s="4761"/>
      <c r="L37" s="4766"/>
    </row>
    <row r="38" spans="1:12" s="431" customFormat="1" ht="23.25" customHeight="1">
      <c r="A38" s="4746"/>
      <c r="B38" s="4746"/>
      <c r="C38" s="4746"/>
      <c r="D38" s="4746"/>
      <c r="E38" s="4753"/>
      <c r="F38" s="4754"/>
      <c r="G38" s="4756"/>
      <c r="H38" s="4762"/>
      <c r="I38" s="4763"/>
      <c r="J38" s="4765"/>
      <c r="K38" s="4763"/>
      <c r="L38" s="4767"/>
    </row>
    <row r="39" spans="1:12" s="431" customFormat="1" ht="13.15" customHeight="1">
      <c r="A39" s="1485">
        <f>'Part V-Revenues &amp; Expenses'!B18</f>
        <v>50</v>
      </c>
      <c r="B39" s="1486">
        <f>'Part V-Revenues &amp; Expenses'!E18</f>
        <v>3</v>
      </c>
      <c r="C39" s="1487" t="str">
        <f>_xlfn.CONCAT('Part V-Revenues &amp; Expenses'!C18," / ",'Part V-Revenues &amp; Expenses'!D18)</f>
        <v>1 / 1</v>
      </c>
      <c r="D39" s="1486">
        <f>'Part V-Revenues &amp; Expenses'!F18</f>
        <v>700</v>
      </c>
      <c r="E39" s="4744">
        <f>'Part V-Revenues &amp; Expenses'!H18</f>
        <v>1008</v>
      </c>
      <c r="F39" s="4745"/>
      <c r="G39" s="438"/>
      <c r="H39" s="4771"/>
      <c r="I39" s="4772"/>
      <c r="J39" s="4772"/>
      <c r="K39" s="4772"/>
      <c r="L39" s="4773"/>
    </row>
    <row r="40" spans="1:12" s="431" customFormat="1" ht="13.15" customHeight="1">
      <c r="A40" s="1488">
        <f>'Part V-Revenues &amp; Expenses'!B19</f>
        <v>50</v>
      </c>
      <c r="B40" s="1489">
        <f>'Part V-Revenues &amp; Expenses'!E19</f>
        <v>5</v>
      </c>
      <c r="C40" s="1490" t="str">
        <f>_xlfn.CONCAT('Part V-Revenues &amp; Expenses'!C19," / ",'Part V-Revenues &amp; Expenses'!D19)</f>
        <v>2 / 2</v>
      </c>
      <c r="D40" s="1489">
        <f>'Part V-Revenues &amp; Expenses'!F19</f>
        <v>900</v>
      </c>
      <c r="E40" s="4742">
        <f>'Part V-Revenues &amp; Expenses'!H19</f>
        <v>1208</v>
      </c>
      <c r="F40" s="4743"/>
      <c r="G40" s="438"/>
      <c r="H40" s="4768"/>
      <c r="I40" s="4769"/>
      <c r="J40" s="4769"/>
      <c r="K40" s="4769"/>
      <c r="L40" s="4770"/>
    </row>
    <row r="41" spans="1:12" s="431" customFormat="1" ht="13.15" customHeight="1">
      <c r="A41" s="1488">
        <f>'Part V-Revenues &amp; Expenses'!B20</f>
        <v>50</v>
      </c>
      <c r="B41" s="1489">
        <f>'Part V-Revenues &amp; Expenses'!E20</f>
        <v>5</v>
      </c>
      <c r="C41" s="1490" t="str">
        <f>_xlfn.CONCAT('Part V-Revenues &amp; Expenses'!C20," / ",'Part V-Revenues &amp; Expenses'!D20)</f>
        <v>3 / 2</v>
      </c>
      <c r="D41" s="1489">
        <f>'Part V-Revenues &amp; Expenses'!F20</f>
        <v>1200</v>
      </c>
      <c r="E41" s="4742">
        <f>'Part V-Revenues &amp; Expenses'!H20</f>
        <v>1394</v>
      </c>
      <c r="F41" s="4743"/>
      <c r="G41" s="438"/>
      <c r="H41" s="4768"/>
      <c r="I41" s="4769"/>
      <c r="J41" s="4769"/>
      <c r="K41" s="4769"/>
      <c r="L41" s="4770"/>
    </row>
    <row r="42" spans="1:12" s="431" customFormat="1" ht="13.15" customHeight="1">
      <c r="A42" s="1488">
        <f>'Part V-Revenues &amp; Expenses'!B21</f>
        <v>60</v>
      </c>
      <c r="B42" s="1489">
        <f>'Part V-Revenues &amp; Expenses'!E21</f>
        <v>9</v>
      </c>
      <c r="C42" s="1490" t="str">
        <f>_xlfn.CONCAT('Part V-Revenues &amp; Expenses'!C21," / ",'Part V-Revenues &amp; Expenses'!D21)</f>
        <v>1 / 1</v>
      </c>
      <c r="D42" s="1489">
        <f>'Part V-Revenues &amp; Expenses'!F21</f>
        <v>700</v>
      </c>
      <c r="E42" s="4742">
        <f>'Part V-Revenues &amp; Expenses'!H21</f>
        <v>1168</v>
      </c>
      <c r="F42" s="4743"/>
      <c r="G42" s="438"/>
      <c r="H42" s="4768"/>
      <c r="I42" s="4769"/>
      <c r="J42" s="4769"/>
      <c r="K42" s="4769"/>
      <c r="L42" s="4770"/>
    </row>
    <row r="43" spans="1:12" s="431" customFormat="1" ht="13.15" customHeight="1">
      <c r="A43" s="1488">
        <f>'Part V-Revenues &amp; Expenses'!B22</f>
        <v>60</v>
      </c>
      <c r="B43" s="1489">
        <f>'Part V-Revenues &amp; Expenses'!E22</f>
        <v>19</v>
      </c>
      <c r="C43" s="1490" t="str">
        <f>_xlfn.CONCAT('Part V-Revenues &amp; Expenses'!C22," / ",'Part V-Revenues &amp; Expenses'!D22)</f>
        <v>2 / 2</v>
      </c>
      <c r="D43" s="1489">
        <f>'Part V-Revenues &amp; Expenses'!F22</f>
        <v>900</v>
      </c>
      <c r="E43" s="4742">
        <f>'Part V-Revenues &amp; Expenses'!H22</f>
        <v>1398</v>
      </c>
      <c r="F43" s="4743"/>
      <c r="G43" s="438"/>
      <c r="H43" s="4768"/>
      <c r="I43" s="4769"/>
      <c r="J43" s="4769"/>
      <c r="K43" s="4769"/>
      <c r="L43" s="4770"/>
    </row>
    <row r="44" spans="1:12" s="431" customFormat="1" ht="13.15" customHeight="1">
      <c r="A44" s="1488">
        <f>'Part V-Revenues &amp; Expenses'!B23</f>
        <v>60</v>
      </c>
      <c r="B44" s="1489">
        <f>'Part V-Revenues &amp; Expenses'!E23</f>
        <v>19</v>
      </c>
      <c r="C44" s="1490" t="str">
        <f>_xlfn.CONCAT('Part V-Revenues &amp; Expenses'!C23," / ",'Part V-Revenues &amp; Expenses'!D23)</f>
        <v>3 / 2</v>
      </c>
      <c r="D44" s="1489">
        <f>'Part V-Revenues &amp; Expenses'!F23</f>
        <v>1200</v>
      </c>
      <c r="E44" s="4742">
        <f>'Part V-Revenues &amp; Expenses'!H23</f>
        <v>1584</v>
      </c>
      <c r="F44" s="4743"/>
      <c r="G44" s="438"/>
      <c r="H44" s="4768"/>
      <c r="I44" s="4769"/>
      <c r="J44" s="4769"/>
      <c r="K44" s="4769"/>
      <c r="L44" s="4770"/>
    </row>
    <row r="45" spans="1:12" s="431" customFormat="1" ht="13.15" customHeight="1">
      <c r="A45" s="1488">
        <f>'Part V-Revenues &amp; Expenses'!B24</f>
        <v>0</v>
      </c>
      <c r="B45" s="1489">
        <f>'Part V-Revenues &amp; Expenses'!E24</f>
        <v>0</v>
      </c>
      <c r="C45" s="1490" t="str">
        <f>_xlfn.CONCAT('Part V-Revenues &amp; Expenses'!C24," / ",'Part V-Revenues &amp; Expenses'!D24)</f>
        <v xml:space="preserve"> / </v>
      </c>
      <c r="D45" s="1489">
        <f>'Part V-Revenues &amp; Expenses'!F24</f>
        <v>0</v>
      </c>
      <c r="E45" s="4742">
        <f>'Part V-Revenues &amp; Expenses'!H24</f>
        <v>0</v>
      </c>
      <c r="F45" s="4743"/>
      <c r="G45" s="438"/>
      <c r="H45" s="4768"/>
      <c r="I45" s="4769"/>
      <c r="J45" s="4769"/>
      <c r="K45" s="4769"/>
      <c r="L45" s="4770"/>
    </row>
    <row r="46" spans="1:12" s="431" customFormat="1" ht="13.15" customHeight="1">
      <c r="A46" s="1488">
        <f>'Part V-Revenues &amp; Expenses'!B25</f>
        <v>0</v>
      </c>
      <c r="B46" s="1489">
        <f>'Part V-Revenues &amp; Expenses'!E25</f>
        <v>0</v>
      </c>
      <c r="C46" s="1490" t="str">
        <f>_xlfn.CONCAT('Part V-Revenues &amp; Expenses'!C25," / ",'Part V-Revenues &amp; Expenses'!D25)</f>
        <v xml:space="preserve"> / </v>
      </c>
      <c r="D46" s="1489">
        <f>'Part V-Revenues &amp; Expenses'!F25</f>
        <v>0</v>
      </c>
      <c r="E46" s="4742">
        <f>'Part V-Revenues &amp; Expenses'!H25</f>
        <v>0</v>
      </c>
      <c r="F46" s="4743"/>
      <c r="G46" s="438"/>
      <c r="H46" s="4768"/>
      <c r="I46" s="4769"/>
      <c r="J46" s="4769"/>
      <c r="K46" s="4769"/>
      <c r="L46" s="4770"/>
    </row>
    <row r="47" spans="1:12" s="431" customFormat="1" ht="13.15" customHeight="1">
      <c r="A47" s="1488">
        <f>'Part V-Revenues &amp; Expenses'!B26</f>
        <v>0</v>
      </c>
      <c r="B47" s="1489">
        <f>'Part V-Revenues &amp; Expenses'!E26</f>
        <v>0</v>
      </c>
      <c r="C47" s="1490" t="str">
        <f>_xlfn.CONCAT('Part V-Revenues &amp; Expenses'!C26," / ",'Part V-Revenues &amp; Expenses'!D26)</f>
        <v xml:space="preserve"> / </v>
      </c>
      <c r="D47" s="1489">
        <f>'Part V-Revenues &amp; Expenses'!F26</f>
        <v>0</v>
      </c>
      <c r="E47" s="4742">
        <f>'Part V-Revenues &amp; Expenses'!H26</f>
        <v>0</v>
      </c>
      <c r="F47" s="4743"/>
      <c r="G47" s="438"/>
      <c r="H47" s="4768"/>
      <c r="I47" s="4769"/>
      <c r="J47" s="4769"/>
      <c r="K47" s="4769"/>
      <c r="L47" s="4770"/>
    </row>
    <row r="48" spans="1:12" s="431" customFormat="1" ht="13.15" customHeight="1">
      <c r="A48" s="1488">
        <f>'Part V-Revenues &amp; Expenses'!B27</f>
        <v>0</v>
      </c>
      <c r="B48" s="1489">
        <f>'Part V-Revenues &amp; Expenses'!E27</f>
        <v>0</v>
      </c>
      <c r="C48" s="1490" t="str">
        <f>_xlfn.CONCAT('Part V-Revenues &amp; Expenses'!C27," / ",'Part V-Revenues &amp; Expenses'!D27)</f>
        <v xml:space="preserve"> / </v>
      </c>
      <c r="D48" s="1489">
        <f>'Part V-Revenues &amp; Expenses'!F27</f>
        <v>0</v>
      </c>
      <c r="E48" s="4742">
        <f>'Part V-Revenues &amp; Expenses'!H27</f>
        <v>0</v>
      </c>
      <c r="F48" s="4743"/>
      <c r="G48" s="438"/>
      <c r="H48" s="4768"/>
      <c r="I48" s="4769"/>
      <c r="J48" s="4769"/>
      <c r="K48" s="4769"/>
      <c r="L48" s="4770"/>
    </row>
    <row r="49" spans="1:13" s="431" customFormat="1" ht="13.15" customHeight="1">
      <c r="A49" s="1488">
        <f>'Part V-Revenues &amp; Expenses'!B28</f>
        <v>0</v>
      </c>
      <c r="B49" s="1489">
        <f>'Part V-Revenues &amp; Expenses'!E28</f>
        <v>0</v>
      </c>
      <c r="C49" s="1490" t="str">
        <f>_xlfn.CONCAT('Part V-Revenues &amp; Expenses'!C28," / ",'Part V-Revenues &amp; Expenses'!D28)</f>
        <v xml:space="preserve"> / </v>
      </c>
      <c r="D49" s="1489">
        <f>'Part V-Revenues &amp; Expenses'!F28</f>
        <v>0</v>
      </c>
      <c r="E49" s="4742">
        <f>'Part V-Revenues &amp; Expenses'!H28</f>
        <v>0</v>
      </c>
      <c r="F49" s="4743"/>
      <c r="G49" s="438"/>
      <c r="H49" s="4768"/>
      <c r="I49" s="4769"/>
      <c r="J49" s="4769"/>
      <c r="K49" s="4769"/>
      <c r="L49" s="4770"/>
    </row>
    <row r="50" spans="1:13" s="431" customFormat="1" ht="13.15" customHeight="1">
      <c r="A50" s="1488">
        <f>'Part V-Revenues &amp; Expenses'!B29</f>
        <v>0</v>
      </c>
      <c r="B50" s="1489">
        <f>'Part V-Revenues &amp; Expenses'!E29</f>
        <v>0</v>
      </c>
      <c r="C50" s="1490" t="str">
        <f>_xlfn.CONCAT('Part V-Revenues &amp; Expenses'!C29," / ",'Part V-Revenues &amp; Expenses'!D29)</f>
        <v xml:space="preserve"> / </v>
      </c>
      <c r="D50" s="1489">
        <f>'Part V-Revenues &amp; Expenses'!F29</f>
        <v>0</v>
      </c>
      <c r="E50" s="4742">
        <f>'Part V-Revenues &amp; Expenses'!H29</f>
        <v>0</v>
      </c>
      <c r="F50" s="4743"/>
      <c r="G50" s="438"/>
      <c r="H50" s="4768"/>
      <c r="I50" s="4769"/>
      <c r="J50" s="4769"/>
      <c r="K50" s="4769"/>
      <c r="L50" s="4770"/>
    </row>
    <row r="51" spans="1:13" s="431" customFormat="1" ht="13.15" customHeight="1">
      <c r="A51" s="1488">
        <f>'Part V-Revenues &amp; Expenses'!B30</f>
        <v>0</v>
      </c>
      <c r="B51" s="1489">
        <f>'Part V-Revenues &amp; Expenses'!E30</f>
        <v>0</v>
      </c>
      <c r="C51" s="1490" t="str">
        <f>_xlfn.CONCAT('Part V-Revenues &amp; Expenses'!C30," / ",'Part V-Revenues &amp; Expenses'!D30)</f>
        <v xml:space="preserve"> / </v>
      </c>
      <c r="D51" s="1489">
        <f>'Part V-Revenues &amp; Expenses'!F30</f>
        <v>0</v>
      </c>
      <c r="E51" s="4742">
        <f>'Part V-Revenues &amp; Expenses'!H30</f>
        <v>0</v>
      </c>
      <c r="F51" s="4743"/>
      <c r="G51" s="438"/>
      <c r="H51" s="4768"/>
      <c r="I51" s="4769"/>
      <c r="J51" s="4769"/>
      <c r="K51" s="4769"/>
      <c r="L51" s="4770"/>
    </row>
    <row r="52" spans="1:13" s="431" customFormat="1" ht="13.15" customHeight="1">
      <c r="A52" s="1488">
        <f>'Part V-Revenues &amp; Expenses'!B31</f>
        <v>0</v>
      </c>
      <c r="B52" s="1489">
        <f>'Part V-Revenues &amp; Expenses'!E31</f>
        <v>0</v>
      </c>
      <c r="C52" s="1490" t="str">
        <f>_xlfn.CONCAT('Part V-Revenues &amp; Expenses'!C31," / ",'Part V-Revenues &amp; Expenses'!D31)</f>
        <v xml:space="preserve"> / </v>
      </c>
      <c r="D52" s="1489">
        <f>'Part V-Revenues &amp; Expenses'!F31</f>
        <v>0</v>
      </c>
      <c r="E52" s="4742">
        <f>'Part V-Revenues &amp; Expenses'!H31</f>
        <v>0</v>
      </c>
      <c r="F52" s="4743"/>
      <c r="G52" s="438"/>
      <c r="H52" s="4768"/>
      <c r="I52" s="4769"/>
      <c r="J52" s="4769"/>
      <c r="K52" s="4769"/>
      <c r="L52" s="4770"/>
    </row>
    <row r="53" spans="1:13" s="431" customFormat="1" ht="13.15" customHeight="1">
      <c r="A53" s="1488">
        <f>'Part V-Revenues &amp; Expenses'!B32</f>
        <v>0</v>
      </c>
      <c r="B53" s="1489">
        <f>'Part V-Revenues &amp; Expenses'!E32</f>
        <v>0</v>
      </c>
      <c r="C53" s="1490" t="str">
        <f>_xlfn.CONCAT('Part V-Revenues &amp; Expenses'!C32," / ",'Part V-Revenues &amp; Expenses'!D32)</f>
        <v xml:space="preserve"> / </v>
      </c>
      <c r="D53" s="1489">
        <f>'Part V-Revenues &amp; Expenses'!F32</f>
        <v>0</v>
      </c>
      <c r="E53" s="4742">
        <f>'Part V-Revenues &amp; Expenses'!H32</f>
        <v>0</v>
      </c>
      <c r="F53" s="4743"/>
      <c r="G53" s="438"/>
      <c r="H53" s="4768"/>
      <c r="I53" s="4769"/>
      <c r="J53" s="4769"/>
      <c r="K53" s="4769"/>
      <c r="L53" s="4770"/>
    </row>
    <row r="54" spans="1:13" s="431" customFormat="1" ht="13.15" customHeight="1">
      <c r="A54" s="1488">
        <f>'Part V-Revenues &amp; Expenses'!B33</f>
        <v>0</v>
      </c>
      <c r="B54" s="1489">
        <f>'Part V-Revenues &amp; Expenses'!E33</f>
        <v>0</v>
      </c>
      <c r="C54" s="1490" t="str">
        <f>_xlfn.CONCAT('Part V-Revenues &amp; Expenses'!C33," / ",'Part V-Revenues &amp; Expenses'!D33)</f>
        <v xml:space="preserve"> / </v>
      </c>
      <c r="D54" s="1489">
        <f>'Part V-Revenues &amp; Expenses'!F33</f>
        <v>0</v>
      </c>
      <c r="E54" s="4742">
        <f>'Part V-Revenues &amp; Expenses'!H33</f>
        <v>0</v>
      </c>
      <c r="F54" s="4743"/>
      <c r="G54" s="438"/>
      <c r="H54" s="4768"/>
      <c r="I54" s="4769"/>
      <c r="J54" s="4769"/>
      <c r="K54" s="4769"/>
      <c r="L54" s="4770"/>
    </row>
    <row r="55" spans="1:13" s="431" customFormat="1" ht="13.15" customHeight="1">
      <c r="A55" s="1488">
        <f>'Part V-Revenues &amp; Expenses'!B34</f>
        <v>0</v>
      </c>
      <c r="B55" s="1489">
        <f>'Part V-Revenues &amp; Expenses'!E34</f>
        <v>0</v>
      </c>
      <c r="C55" s="1490" t="str">
        <f>_xlfn.CONCAT('Part V-Revenues &amp; Expenses'!C34," / ",'Part V-Revenues &amp; Expenses'!D34)</f>
        <v xml:space="preserve"> / </v>
      </c>
      <c r="D55" s="1489">
        <f>'Part V-Revenues &amp; Expenses'!F34</f>
        <v>0</v>
      </c>
      <c r="E55" s="4742">
        <f>'Part V-Revenues &amp; Expenses'!H34</f>
        <v>0</v>
      </c>
      <c r="F55" s="4743"/>
      <c r="G55" s="438"/>
      <c r="H55" s="4768"/>
      <c r="I55" s="4769"/>
      <c r="J55" s="4769"/>
      <c r="K55" s="4769"/>
      <c r="L55" s="4770"/>
    </row>
    <row r="56" spans="1:13" s="431" customFormat="1" ht="13.15" customHeight="1">
      <c r="A56" s="1488">
        <f>'Part V-Revenues &amp; Expenses'!B35</f>
        <v>0</v>
      </c>
      <c r="B56" s="1489">
        <f>'Part V-Revenues &amp; Expenses'!E35</f>
        <v>0</v>
      </c>
      <c r="C56" s="1490" t="str">
        <f>_xlfn.CONCAT('Part V-Revenues &amp; Expenses'!C35," / ",'Part V-Revenues &amp; Expenses'!D35)</f>
        <v xml:space="preserve"> / </v>
      </c>
      <c r="D56" s="1489">
        <f>'Part V-Revenues &amp; Expenses'!F35</f>
        <v>0</v>
      </c>
      <c r="E56" s="4742">
        <f>'Part V-Revenues &amp; Expenses'!H35</f>
        <v>0</v>
      </c>
      <c r="F56" s="4743"/>
      <c r="G56" s="438"/>
      <c r="H56" s="4768"/>
      <c r="I56" s="4769"/>
      <c r="J56" s="4769"/>
      <c r="K56" s="4769"/>
      <c r="L56" s="4770"/>
    </row>
    <row r="57" spans="1:13" s="431" customFormat="1" ht="13.15" customHeight="1">
      <c r="A57" s="1488">
        <f>'Part V-Revenues &amp; Expenses'!B36</f>
        <v>0</v>
      </c>
      <c r="B57" s="1489">
        <f>'Part V-Revenues &amp; Expenses'!E36</f>
        <v>0</v>
      </c>
      <c r="C57" s="1490" t="str">
        <f>_xlfn.CONCAT('Part V-Revenues &amp; Expenses'!C36," / ",'Part V-Revenues &amp; Expenses'!D36)</f>
        <v xml:space="preserve"> / </v>
      </c>
      <c r="D57" s="1489">
        <f>'Part V-Revenues &amp; Expenses'!F36</f>
        <v>0</v>
      </c>
      <c r="E57" s="4742">
        <f>'Part V-Revenues &amp; Expenses'!H36</f>
        <v>0</v>
      </c>
      <c r="F57" s="4743"/>
      <c r="G57" s="438"/>
      <c r="H57" s="4768"/>
      <c r="I57" s="4769"/>
      <c r="J57" s="4769"/>
      <c r="K57" s="4769"/>
      <c r="L57" s="4770"/>
    </row>
    <row r="58" spans="1:13" s="431" customFormat="1" ht="13.15" customHeight="1">
      <c r="A58" s="1488">
        <f>'Part V-Revenues &amp; Expenses'!B37</f>
        <v>0</v>
      </c>
      <c r="B58" s="1489">
        <f>'Part V-Revenues &amp; Expenses'!E37</f>
        <v>0</v>
      </c>
      <c r="C58" s="1490" t="str">
        <f>_xlfn.CONCAT('Part V-Revenues &amp; Expenses'!C37," / ",'Part V-Revenues &amp; Expenses'!D37)</f>
        <v xml:space="preserve"> / </v>
      </c>
      <c r="D58" s="1489">
        <f>'Part V-Revenues &amp; Expenses'!F37</f>
        <v>0</v>
      </c>
      <c r="E58" s="4742">
        <f>'Part V-Revenues &amp; Expenses'!H37</f>
        <v>0</v>
      </c>
      <c r="F58" s="4743"/>
      <c r="G58" s="438"/>
      <c r="H58" s="4768"/>
      <c r="I58" s="4769"/>
      <c r="J58" s="4769"/>
      <c r="K58" s="4769"/>
      <c r="L58" s="4770"/>
    </row>
    <row r="59" spans="1:13" s="431" customFormat="1" ht="13.15" customHeight="1">
      <c r="A59" s="1488">
        <f>'Part V-Revenues &amp; Expenses'!B38</f>
        <v>0</v>
      </c>
      <c r="B59" s="1489">
        <f>'Part V-Revenues &amp; Expenses'!E38</f>
        <v>0</v>
      </c>
      <c r="C59" s="1490" t="str">
        <f>_xlfn.CONCAT('Part V-Revenues &amp; Expenses'!C38," / ",'Part V-Revenues &amp; Expenses'!D38)</f>
        <v xml:space="preserve"> / </v>
      </c>
      <c r="D59" s="1489">
        <f>'Part V-Revenues &amp; Expenses'!F38</f>
        <v>0</v>
      </c>
      <c r="E59" s="4742">
        <f>'Part V-Revenues &amp; Expenses'!H38</f>
        <v>0</v>
      </c>
      <c r="F59" s="4743"/>
      <c r="G59" s="438"/>
      <c r="H59" s="4768"/>
      <c r="I59" s="4769"/>
      <c r="J59" s="4769"/>
      <c r="K59" s="4769"/>
      <c r="L59" s="4770"/>
    </row>
    <row r="60" spans="1:13" s="431" customFormat="1" ht="13.15" customHeight="1">
      <c r="A60" s="1488">
        <f>'Part V-Revenues &amp; Expenses'!B39</f>
        <v>0</v>
      </c>
      <c r="B60" s="1489">
        <f>'Part V-Revenues &amp; Expenses'!E39</f>
        <v>0</v>
      </c>
      <c r="C60" s="1490" t="str">
        <f>_xlfn.CONCAT('Part V-Revenues &amp; Expenses'!C39," / ",'Part V-Revenues &amp; Expenses'!D39)</f>
        <v xml:space="preserve"> / </v>
      </c>
      <c r="D60" s="1489">
        <f>'Part V-Revenues &amp; Expenses'!F39</f>
        <v>0</v>
      </c>
      <c r="E60" s="4742">
        <f>'Part V-Revenues &amp; Expenses'!H39</f>
        <v>0</v>
      </c>
      <c r="F60" s="4743"/>
      <c r="G60" s="438"/>
      <c r="H60" s="4768"/>
      <c r="I60" s="4769"/>
      <c r="J60" s="4769"/>
      <c r="K60" s="4769"/>
      <c r="L60" s="4770"/>
      <c r="M60" s="604"/>
    </row>
    <row r="61" spans="1:13" s="431" customFormat="1" ht="13.15" customHeight="1">
      <c r="A61" s="1488">
        <f>'Part V-Revenues &amp; Expenses'!B40</f>
        <v>0</v>
      </c>
      <c r="B61" s="1489">
        <f>'Part V-Revenues &amp; Expenses'!E40</f>
        <v>0</v>
      </c>
      <c r="C61" s="1490" t="str">
        <f>_xlfn.CONCAT('Part V-Revenues &amp; Expenses'!C40," / ",'Part V-Revenues &amp; Expenses'!D40)</f>
        <v xml:space="preserve"> / </v>
      </c>
      <c r="D61" s="1489">
        <f>'Part V-Revenues &amp; Expenses'!F40</f>
        <v>0</v>
      </c>
      <c r="E61" s="4742">
        <f>'Part V-Revenues &amp; Expenses'!H40</f>
        <v>0</v>
      </c>
      <c r="F61" s="4743"/>
      <c r="G61" s="438"/>
      <c r="H61" s="4768"/>
      <c r="I61" s="4769"/>
      <c r="J61" s="4769"/>
      <c r="K61" s="4769"/>
      <c r="L61" s="4770"/>
      <c r="M61" s="604"/>
    </row>
    <row r="62" spans="1:13" s="431" customFormat="1" ht="13.15" customHeight="1">
      <c r="A62" s="1488">
        <f>'Part V-Revenues &amp; Expenses'!B41</f>
        <v>0</v>
      </c>
      <c r="B62" s="1489">
        <f>'Part V-Revenues &amp; Expenses'!E41</f>
        <v>0</v>
      </c>
      <c r="C62" s="1490" t="str">
        <f>_xlfn.CONCAT('Part V-Revenues &amp; Expenses'!C41," / ",'Part V-Revenues &amp; Expenses'!D41)</f>
        <v xml:space="preserve"> / </v>
      </c>
      <c r="D62" s="1489">
        <f>'Part V-Revenues &amp; Expenses'!F41</f>
        <v>0</v>
      </c>
      <c r="E62" s="4742">
        <f>'Part V-Revenues &amp; Expenses'!H41</f>
        <v>0</v>
      </c>
      <c r="F62" s="4743"/>
      <c r="G62" s="438"/>
      <c r="H62" s="4768"/>
      <c r="I62" s="4769"/>
      <c r="J62" s="4769"/>
      <c r="K62" s="4769"/>
      <c r="L62" s="4770"/>
      <c r="M62" s="604"/>
    </row>
    <row r="63" spans="1:13" s="431" customFormat="1" ht="13.15" customHeight="1">
      <c r="A63" s="1488">
        <f>'Part V-Revenues &amp; Expenses'!B42</f>
        <v>0</v>
      </c>
      <c r="B63" s="1489">
        <f>'Part V-Revenues &amp; Expenses'!E42</f>
        <v>0</v>
      </c>
      <c r="C63" s="1490" t="str">
        <f>_xlfn.CONCAT('Part V-Revenues &amp; Expenses'!C42," / ",'Part V-Revenues &amp; Expenses'!D42)</f>
        <v xml:space="preserve"> / </v>
      </c>
      <c r="D63" s="1489">
        <f>'Part V-Revenues &amp; Expenses'!F42</f>
        <v>0</v>
      </c>
      <c r="E63" s="4742">
        <f>'Part V-Revenues &amp; Expenses'!H42</f>
        <v>0</v>
      </c>
      <c r="F63" s="4743"/>
      <c r="G63" s="438"/>
      <c r="H63" s="4768"/>
      <c r="I63" s="4769"/>
      <c r="J63" s="4769"/>
      <c r="K63" s="4769"/>
      <c r="L63" s="4770"/>
      <c r="M63" s="604"/>
    </row>
    <row r="64" spans="1:13" s="431" customFormat="1" ht="13.15" customHeight="1">
      <c r="A64" s="1488">
        <f>'Part V-Revenues &amp; Expenses'!B43</f>
        <v>0</v>
      </c>
      <c r="B64" s="1489">
        <f>'Part V-Revenues &amp; Expenses'!E43</f>
        <v>0</v>
      </c>
      <c r="C64" s="1490" t="str">
        <f>_xlfn.CONCAT('Part V-Revenues &amp; Expenses'!C43," / ",'Part V-Revenues &amp; Expenses'!D43)</f>
        <v xml:space="preserve"> / </v>
      </c>
      <c r="D64" s="1489">
        <f>'Part V-Revenues &amp; Expenses'!F43</f>
        <v>0</v>
      </c>
      <c r="E64" s="4742">
        <f>'Part V-Revenues &amp; Expenses'!H43</f>
        <v>0</v>
      </c>
      <c r="F64" s="4743"/>
      <c r="G64" s="438"/>
      <c r="H64" s="4768"/>
      <c r="I64" s="4769"/>
      <c r="J64" s="4769"/>
      <c r="K64" s="4769"/>
      <c r="L64" s="4770"/>
      <c r="M64" s="604"/>
    </row>
    <row r="65" spans="1:19" ht="13.15" customHeight="1">
      <c r="A65" s="1488">
        <f>'Part V-Revenues &amp; Expenses'!B44</f>
        <v>0</v>
      </c>
      <c r="B65" s="1489">
        <f>'Part V-Revenues &amp; Expenses'!E44</f>
        <v>0</v>
      </c>
      <c r="C65" s="1490" t="str">
        <f>_xlfn.CONCAT('Part V-Revenues &amp; Expenses'!C44," / ",'Part V-Revenues &amp; Expenses'!D44)</f>
        <v xml:space="preserve"> / </v>
      </c>
      <c r="D65" s="1489">
        <f>'Part V-Revenues &amp; Expenses'!F44</f>
        <v>0</v>
      </c>
      <c r="E65" s="4742">
        <f>'Part V-Revenues &amp; Expenses'!H44</f>
        <v>0</v>
      </c>
      <c r="F65" s="4743"/>
      <c r="G65" s="438"/>
      <c r="H65" s="4768"/>
      <c r="I65" s="4769"/>
      <c r="J65" s="4769"/>
      <c r="K65" s="4769"/>
      <c r="L65" s="4770"/>
      <c r="M65" s="604"/>
      <c r="S65" s="431"/>
    </row>
    <row r="66" spans="1:19" ht="13.15" customHeight="1">
      <c r="A66" s="1488">
        <f>'Part V-Revenues &amp; Expenses'!B45</f>
        <v>0</v>
      </c>
      <c r="B66" s="1489">
        <f>'Part V-Revenues &amp; Expenses'!E45</f>
        <v>0</v>
      </c>
      <c r="C66" s="1490" t="str">
        <f>_xlfn.CONCAT('Part V-Revenues &amp; Expenses'!C45," / ",'Part V-Revenues &amp; Expenses'!D45)</f>
        <v xml:space="preserve"> / </v>
      </c>
      <c r="D66" s="1489">
        <f>'Part V-Revenues &amp; Expenses'!F45</f>
        <v>0</v>
      </c>
      <c r="E66" s="4742">
        <f>'Part V-Revenues &amp; Expenses'!H45</f>
        <v>0</v>
      </c>
      <c r="F66" s="4743"/>
      <c r="G66" s="438"/>
      <c r="H66" s="4768"/>
      <c r="I66" s="4769"/>
      <c r="J66" s="4769"/>
      <c r="K66" s="4769"/>
      <c r="L66" s="4770"/>
      <c r="M66" s="604"/>
      <c r="S66" s="431"/>
    </row>
    <row r="67" spans="1:19" ht="13.15" customHeight="1">
      <c r="A67" s="1488">
        <f>'Part V-Revenues &amp; Expenses'!B46</f>
        <v>0</v>
      </c>
      <c r="B67" s="1489">
        <f>'Part V-Revenues &amp; Expenses'!E46</f>
        <v>0</v>
      </c>
      <c r="C67" s="1490" t="str">
        <f>_xlfn.CONCAT('Part V-Revenues &amp; Expenses'!C46," / ",'Part V-Revenues &amp; Expenses'!D46)</f>
        <v xml:space="preserve"> / </v>
      </c>
      <c r="D67" s="1489">
        <f>'Part V-Revenues &amp; Expenses'!F46</f>
        <v>0</v>
      </c>
      <c r="E67" s="4742">
        <f>'Part V-Revenues &amp; Expenses'!H46</f>
        <v>0</v>
      </c>
      <c r="F67" s="4743"/>
      <c r="G67" s="438"/>
      <c r="H67" s="4768"/>
      <c r="I67" s="4769"/>
      <c r="J67" s="4769"/>
      <c r="K67" s="4769"/>
      <c r="L67" s="4770"/>
      <c r="M67" s="604"/>
      <c r="S67" s="431"/>
    </row>
    <row r="68" spans="1:19" ht="13.15" customHeight="1">
      <c r="A68" s="1488">
        <f>'Part V-Revenues &amp; Expenses'!B47</f>
        <v>0</v>
      </c>
      <c r="B68" s="1489">
        <f>'Part V-Revenues &amp; Expenses'!E47</f>
        <v>0</v>
      </c>
      <c r="C68" s="1490" t="str">
        <f>_xlfn.CONCAT('Part V-Revenues &amp; Expenses'!C47," / ",'Part V-Revenues &amp; Expenses'!D47)</f>
        <v xml:space="preserve"> / </v>
      </c>
      <c r="D68" s="1489">
        <f>'Part V-Revenues &amp; Expenses'!F47</f>
        <v>0</v>
      </c>
      <c r="E68" s="4742">
        <f>'Part V-Revenues &amp; Expenses'!H47</f>
        <v>0</v>
      </c>
      <c r="F68" s="4743"/>
      <c r="G68" s="438"/>
      <c r="H68" s="4768"/>
      <c r="I68" s="4769"/>
      <c r="J68" s="4769"/>
      <c r="K68" s="4769"/>
      <c r="L68" s="4770"/>
      <c r="M68" s="604"/>
      <c r="S68" s="431"/>
    </row>
    <row r="69" spans="1:19" ht="13.15" customHeight="1">
      <c r="A69" s="1491">
        <f>'Part V-Revenues &amp; Expenses'!B48</f>
        <v>0</v>
      </c>
      <c r="B69" s="1492">
        <f>'Part V-Revenues &amp; Expenses'!E48</f>
        <v>0</v>
      </c>
      <c r="C69" s="1493" t="str">
        <f>_xlfn.CONCAT('Part V-Revenues &amp; Expenses'!C48," / ",'Part V-Revenues &amp; Expenses'!D48)</f>
        <v xml:space="preserve"> / </v>
      </c>
      <c r="D69" s="1492">
        <f>'Part V-Revenues &amp; Expenses'!F48</f>
        <v>0</v>
      </c>
      <c r="E69" s="4740">
        <f>'Part V-Revenues &amp; Expenses'!H48</f>
        <v>0</v>
      </c>
      <c r="F69" s="4741"/>
      <c r="G69" s="1494"/>
      <c r="H69" s="4774"/>
      <c r="I69" s="4775"/>
      <c r="J69" s="4775"/>
      <c r="K69" s="4775"/>
      <c r="L69" s="4776"/>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9" t="s">
        <v>673</v>
      </c>
      <c r="B2" s="4780"/>
      <c r="C2" s="4780"/>
      <c r="D2" s="4780"/>
      <c r="E2" s="4780"/>
      <c r="F2" s="4780"/>
      <c r="G2" s="4780"/>
      <c r="H2" s="4780"/>
      <c r="I2" s="4780"/>
      <c r="J2" s="4780"/>
      <c r="K2" s="4780"/>
      <c r="L2" s="4780"/>
      <c r="M2" s="4780"/>
      <c r="N2" s="4780"/>
      <c r="O2" s="4780"/>
      <c r="P2" s="4780"/>
      <c r="Q2" s="4780"/>
      <c r="R2" s="478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4769</v>
      </c>
      <c r="B7" s="225"/>
      <c r="C7" s="147"/>
      <c r="D7" s="147"/>
      <c r="E7" s="144"/>
      <c r="F7" s="147" t="s">
        <v>4770</v>
      </c>
      <c r="G7" s="147"/>
      <c r="H7" s="144"/>
      <c r="I7" s="144"/>
      <c r="J7" s="147" t="s">
        <v>4771</v>
      </c>
      <c r="K7" s="147"/>
      <c r="L7" s="147" t="s">
        <v>4772</v>
      </c>
      <c r="M7" s="147"/>
      <c r="N7" s="147"/>
      <c r="O7" s="147"/>
      <c r="P7" s="144"/>
      <c r="Q7" s="235">
        <v>0</v>
      </c>
      <c r="R7" s="2067">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4768</v>
      </c>
      <c r="B9" s="147"/>
      <c r="C9" s="147"/>
      <c r="D9" s="144"/>
      <c r="E9" s="144"/>
      <c r="F9" s="147" t="s">
        <v>4770</v>
      </c>
      <c r="G9" s="147"/>
      <c r="H9" s="144"/>
      <c r="I9" s="144"/>
      <c r="J9" s="147" t="s">
        <v>4773</v>
      </c>
      <c r="K9" s="147"/>
      <c r="L9" s="147" t="s">
        <v>4781</v>
      </c>
      <c r="M9" s="147"/>
      <c r="N9" s="147"/>
      <c r="O9" s="147"/>
      <c r="P9" s="144"/>
      <c r="Q9" s="235">
        <v>0</v>
      </c>
      <c r="R9" s="2067">
        <v>2</v>
      </c>
      <c r="S9" s="144"/>
      <c r="U9" s="144"/>
      <c r="V9" s="702"/>
      <c r="W9" s="702"/>
      <c r="X9" s="148"/>
      <c r="AA9" s="68"/>
      <c r="AB9" s="68"/>
    </row>
    <row r="10" spans="1:28" s="145" customFormat="1" ht="11.65" customHeight="1">
      <c r="A10" s="229"/>
      <c r="B10" s="147"/>
      <c r="C10" s="147"/>
      <c r="D10" s="144"/>
      <c r="E10" s="144"/>
      <c r="F10" s="147"/>
      <c r="G10" s="147"/>
      <c r="H10" s="144"/>
      <c r="I10" s="144"/>
      <c r="J10" s="147" t="s">
        <v>4774</v>
      </c>
      <c r="K10" s="147"/>
      <c r="L10" s="147" t="s">
        <v>4781</v>
      </c>
      <c r="M10" s="147"/>
      <c r="N10" s="147"/>
      <c r="O10" s="147"/>
      <c r="P10" s="144"/>
      <c r="Q10" s="235">
        <v>0</v>
      </c>
      <c r="R10" s="2067">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1" t="s">
        <v>4780</v>
      </c>
      <c r="R12" s="2081" t="s">
        <v>4779</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4145</v>
      </c>
      <c r="K13" s="147"/>
      <c r="L13" s="147" t="s">
        <v>4767</v>
      </c>
      <c r="M13" s="147"/>
      <c r="N13" s="147" t="s">
        <v>4775</v>
      </c>
      <c r="O13" s="147"/>
      <c r="P13" s="144"/>
      <c r="Q13" s="2067">
        <v>1300000</v>
      </c>
      <c r="R13" s="2067">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4776</v>
      </c>
      <c r="O14" s="147"/>
      <c r="P14" s="144"/>
      <c r="Q14" s="2055">
        <v>1170000</v>
      </c>
      <c r="R14" s="2055">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4777</v>
      </c>
      <c r="M15" s="147"/>
      <c r="N15" s="147"/>
      <c r="O15" s="147"/>
      <c r="P15" s="144"/>
      <c r="Q15" s="2055">
        <v>1225000</v>
      </c>
      <c r="R15" s="2055">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4778</v>
      </c>
      <c r="M16" s="147"/>
      <c r="N16" s="147"/>
      <c r="O16" s="147"/>
      <c r="P16" s="147"/>
      <c r="Q16" s="2055">
        <v>1105000</v>
      </c>
      <c r="R16" s="2055">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4782</v>
      </c>
      <c r="K18" s="147"/>
      <c r="L18" s="147" t="s">
        <v>4784</v>
      </c>
      <c r="M18" s="147"/>
      <c r="N18" s="147"/>
      <c r="O18" s="147"/>
      <c r="P18" s="147"/>
      <c r="Q18" s="2055" t="s">
        <v>4783</v>
      </c>
      <c r="R18" s="2055">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4790</v>
      </c>
      <c r="O20" s="147"/>
      <c r="Q20" s="823" t="s">
        <v>905</v>
      </c>
      <c r="R20" s="2068">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3">
        <v>1000000</v>
      </c>
      <c r="R22" s="1913">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2">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82" t="s">
        <v>4514</v>
      </c>
      <c r="R24" s="4783"/>
      <c r="S24" s="241"/>
      <c r="T24" s="144"/>
      <c r="U24" s="144"/>
      <c r="V24" s="321"/>
      <c r="W24" s="321"/>
      <c r="X24" s="321"/>
      <c r="AA24" s="68"/>
      <c r="AB24" s="68"/>
    </row>
    <row r="25" spans="1:28" s="145" customFormat="1" ht="11.25" hidden="1" customHeight="1">
      <c r="A25" s="147"/>
      <c r="B25" s="147"/>
      <c r="C25" s="147"/>
      <c r="D25" s="144"/>
      <c r="E25" s="144"/>
      <c r="F25" s="147" t="s">
        <v>3793</v>
      </c>
      <c r="G25" s="147"/>
      <c r="H25" s="144"/>
      <c r="I25" s="144"/>
      <c r="J25" s="441" t="s">
        <v>3057</v>
      </c>
      <c r="K25" s="234"/>
      <c r="M25" s="234"/>
      <c r="N25" s="234"/>
      <c r="O25" s="147"/>
      <c r="Q25" s="4784">
        <v>0.1</v>
      </c>
      <c r="R25" s="4785"/>
      <c r="S25" s="241"/>
      <c r="T25" s="144"/>
      <c r="U25" s="144"/>
      <c r="V25" s="321"/>
      <c r="W25" s="321"/>
      <c r="X25" s="321"/>
      <c r="AA25" s="68"/>
      <c r="AB25" s="68"/>
    </row>
    <row r="26" spans="1:28" s="145" customFormat="1" ht="12.75" hidden="1" customHeight="1">
      <c r="A26" s="147"/>
      <c r="B26" s="147"/>
      <c r="C26" s="147"/>
      <c r="J26" s="1772" t="s">
        <v>2457</v>
      </c>
      <c r="K26" s="236"/>
      <c r="L26" s="236"/>
      <c r="N26" s="234"/>
      <c r="O26" s="147"/>
      <c r="Q26" s="4786" t="s">
        <v>3784</v>
      </c>
      <c r="R26" s="4786"/>
      <c r="S26" s="144"/>
      <c r="T26" s="144"/>
      <c r="U26" s="144"/>
      <c r="AA26" s="68"/>
      <c r="AB26" s="68"/>
    </row>
    <row r="27" spans="1:28" s="145" customFormat="1" ht="12.75" hidden="1" customHeight="1">
      <c r="A27" s="147"/>
      <c r="B27" s="147"/>
      <c r="C27" s="147"/>
      <c r="K27" s="236" t="s">
        <v>3785</v>
      </c>
      <c r="L27" s="236"/>
      <c r="N27" s="234"/>
      <c r="O27" s="147"/>
      <c r="P27" s="144"/>
      <c r="Q27" s="4787">
        <v>0.2</v>
      </c>
      <c r="R27" s="4788"/>
      <c r="S27" s="144"/>
      <c r="T27" s="144"/>
      <c r="U27" s="144"/>
      <c r="AA27" s="68"/>
      <c r="AB27" s="68"/>
    </row>
    <row r="28" spans="1:28" s="145" customFormat="1" ht="12.75" hidden="1" customHeight="1">
      <c r="A28" s="147"/>
      <c r="B28" s="147"/>
      <c r="C28" s="147"/>
      <c r="K28" s="236" t="s">
        <v>3786</v>
      </c>
      <c r="L28" s="236"/>
      <c r="N28" s="234"/>
      <c r="O28" s="147"/>
      <c r="P28" s="144"/>
      <c r="Q28" s="4777">
        <v>0.15</v>
      </c>
      <c r="R28" s="4778"/>
      <c r="S28" s="144"/>
      <c r="T28" s="144"/>
      <c r="U28" s="144"/>
      <c r="AA28" s="68"/>
      <c r="AB28" s="68"/>
    </row>
    <row r="29" spans="1:28" s="145" customFormat="1" ht="12.75" hidden="1" customHeight="1">
      <c r="A29" s="147"/>
      <c r="B29" s="147"/>
      <c r="C29" s="147"/>
      <c r="K29" s="236" t="s">
        <v>3787</v>
      </c>
      <c r="L29" s="236"/>
      <c r="N29" s="234"/>
      <c r="O29" s="147"/>
      <c r="P29" s="144"/>
      <c r="Q29" s="4777">
        <v>0.15</v>
      </c>
      <c r="R29" s="4778"/>
      <c r="S29" s="144"/>
      <c r="T29" s="144"/>
      <c r="U29" s="144"/>
      <c r="AA29" s="68"/>
      <c r="AB29" s="68"/>
    </row>
    <row r="30" spans="1:28" s="145" customFormat="1" ht="12.75" hidden="1" customHeight="1">
      <c r="A30" s="147"/>
      <c r="B30" s="147"/>
      <c r="C30" s="147"/>
      <c r="K30" s="236" t="s">
        <v>3788</v>
      </c>
      <c r="L30" s="236"/>
      <c r="N30" s="234"/>
      <c r="O30" s="147"/>
      <c r="P30" s="144"/>
      <c r="Q30" s="4777">
        <v>0.1</v>
      </c>
      <c r="R30" s="4778"/>
      <c r="S30" s="144"/>
      <c r="T30" s="144"/>
      <c r="U30" s="144"/>
      <c r="AA30" s="68"/>
      <c r="AB30" s="68"/>
    </row>
    <row r="31" spans="1:28" s="145" customFormat="1" ht="12.75" hidden="1" customHeight="1">
      <c r="A31" s="147"/>
      <c r="B31" s="147"/>
      <c r="C31" s="147"/>
      <c r="K31" s="236" t="s">
        <v>3789</v>
      </c>
      <c r="L31" s="236"/>
      <c r="N31" s="234"/>
      <c r="O31" s="147"/>
      <c r="P31" s="144"/>
      <c r="Q31" s="4791">
        <v>0.1</v>
      </c>
      <c r="R31" s="4792"/>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3">
        <v>5000</v>
      </c>
      <c r="R36" s="2071"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4">
        <v>4500</v>
      </c>
      <c r="R37" s="2072"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3">
        <v>3750</v>
      </c>
      <c r="R38" s="2071"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5">
        <v>3250</v>
      </c>
      <c r="R39" s="2076" t="s">
        <v>1607</v>
      </c>
      <c r="S39" s="236"/>
      <c r="AA39" s="68"/>
      <c r="AB39" s="68"/>
    </row>
    <row r="40" spans="1:28" s="145" customFormat="1" ht="11.65" customHeight="1">
      <c r="A40" s="147"/>
      <c r="B40" s="147"/>
      <c r="C40" s="147"/>
      <c r="D40" s="144"/>
      <c r="E40" s="144"/>
      <c r="G40" s="147" t="s">
        <v>3231</v>
      </c>
      <c r="H40" s="144"/>
      <c r="I40" s="144"/>
      <c r="J40" s="147" t="s">
        <v>1430</v>
      </c>
      <c r="K40" s="147"/>
      <c r="L40" s="147"/>
      <c r="M40" s="147"/>
      <c r="N40" s="147"/>
      <c r="O40" s="147"/>
      <c r="P40" s="144"/>
      <c r="Q40" s="2074" t="s">
        <v>2843</v>
      </c>
      <c r="R40" s="2072"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3">
        <v>400</v>
      </c>
      <c r="R41" s="2071"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5">
        <v>300</v>
      </c>
      <c r="R42" s="2076"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5">
        <v>470</v>
      </c>
      <c r="R43" s="2076"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4">
        <v>420</v>
      </c>
      <c r="R44" s="2072"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3206</v>
      </c>
      <c r="K47" s="147"/>
      <c r="L47" s="147"/>
      <c r="M47" s="147"/>
      <c r="N47" s="147"/>
      <c r="O47" s="147"/>
      <c r="P47" s="144"/>
      <c r="Q47" s="2067">
        <v>35000</v>
      </c>
      <c r="R47" s="235" t="s">
        <v>476</v>
      </c>
      <c r="S47" s="236"/>
      <c r="T47" s="236"/>
      <c r="U47" s="236"/>
      <c r="AA47" s="68"/>
      <c r="AB47" s="68"/>
    </row>
    <row r="48" spans="1:28" s="145" customFormat="1" ht="11.65" customHeight="1">
      <c r="A48" s="147"/>
      <c r="B48" s="147"/>
      <c r="C48" s="147"/>
      <c r="D48" s="144"/>
      <c r="E48" s="144"/>
      <c r="F48" s="147" t="s">
        <v>4005</v>
      </c>
      <c r="G48" s="147"/>
      <c r="H48" s="144"/>
      <c r="I48" s="144"/>
      <c r="J48" s="147" t="s">
        <v>4006</v>
      </c>
      <c r="K48" s="147"/>
      <c r="L48" s="147"/>
      <c r="M48" s="147"/>
      <c r="N48" s="147"/>
      <c r="O48" s="147"/>
      <c r="P48" s="144"/>
      <c r="Q48" s="823" t="s">
        <v>1607</v>
      </c>
      <c r="R48" s="2067">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3232</v>
      </c>
      <c r="K49" s="147"/>
      <c r="L49" s="147"/>
      <c r="M49" s="147"/>
      <c r="N49" s="147"/>
      <c r="O49" s="147"/>
      <c r="P49" s="144"/>
      <c r="Q49" s="2061" t="s">
        <v>1607</v>
      </c>
      <c r="R49" s="2062">
        <v>0.05</v>
      </c>
      <c r="S49" s="236"/>
      <c r="T49" s="236"/>
      <c r="U49" s="236"/>
      <c r="AA49" s="68"/>
      <c r="AB49" s="68"/>
    </row>
    <row r="50" spans="1:28" s="145" customFormat="1" ht="11.65" customHeight="1">
      <c r="A50" s="147"/>
      <c r="B50" s="147"/>
      <c r="C50" s="147"/>
      <c r="D50" s="144"/>
      <c r="E50" s="144"/>
      <c r="F50" s="147" t="s">
        <v>264</v>
      </c>
      <c r="G50" s="147"/>
      <c r="H50" s="144"/>
      <c r="I50" s="144"/>
      <c r="J50" s="147" t="s">
        <v>3232</v>
      </c>
      <c r="K50" s="147"/>
      <c r="L50" s="147"/>
      <c r="M50" s="147"/>
      <c r="N50" s="147"/>
      <c r="O50" s="147"/>
      <c r="P50" s="144"/>
      <c r="Q50" s="2059" t="s">
        <v>1607</v>
      </c>
      <c r="R50" s="2063">
        <v>0.1</v>
      </c>
      <c r="S50" s="236"/>
      <c r="T50" s="236"/>
      <c r="U50" s="236"/>
      <c r="AA50" s="68"/>
      <c r="AB50" s="68"/>
    </row>
    <row r="51" spans="1:28" s="145" customFormat="1" ht="11.65" customHeight="1">
      <c r="A51" s="147"/>
      <c r="B51" s="147"/>
      <c r="C51" s="147"/>
      <c r="D51" s="144"/>
      <c r="E51" s="144"/>
      <c r="F51" s="147" t="s">
        <v>4785</v>
      </c>
      <c r="G51" s="147"/>
      <c r="H51" s="144"/>
      <c r="I51" s="144"/>
      <c r="J51" s="147" t="s">
        <v>3232</v>
      </c>
      <c r="K51" s="147"/>
      <c r="L51" s="147"/>
      <c r="M51" s="147"/>
      <c r="N51" s="147"/>
      <c r="O51" s="147"/>
      <c r="P51" s="144"/>
      <c r="Q51" s="2060">
        <v>0.03</v>
      </c>
      <c r="R51" s="2060"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3233</v>
      </c>
      <c r="K52" s="147"/>
      <c r="L52" s="147"/>
      <c r="M52" s="147"/>
      <c r="N52" s="147"/>
      <c r="O52" s="147"/>
      <c r="P52" s="144"/>
      <c r="Q52" s="235" t="s">
        <v>1607</v>
      </c>
      <c r="R52" s="2068">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3233</v>
      </c>
      <c r="K53" s="147"/>
      <c r="L53" s="147"/>
      <c r="M53" s="147"/>
      <c r="N53" s="147"/>
      <c r="O53" s="147"/>
      <c r="P53" s="144"/>
      <c r="Q53" s="235" t="s">
        <v>1607</v>
      </c>
      <c r="R53" s="2068">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3233</v>
      </c>
      <c r="K54" s="147"/>
      <c r="L54" s="147"/>
      <c r="M54" s="147"/>
      <c r="N54" s="147"/>
      <c r="O54" s="147"/>
      <c r="P54" s="144"/>
      <c r="Q54" s="235" t="s">
        <v>1607</v>
      </c>
      <c r="R54" s="2068">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4" t="s">
        <v>1607</v>
      </c>
      <c r="R55" s="1913"/>
      <c r="S55" s="236"/>
      <c r="T55" s="236"/>
      <c r="U55" s="236"/>
      <c r="AA55" s="68"/>
      <c r="AB55" s="68"/>
    </row>
    <row r="56" spans="1:28" s="145" customFormat="1" ht="11.65" customHeight="1">
      <c r="A56" s="144"/>
      <c r="B56" s="236" t="s">
        <v>3200</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4875</v>
      </c>
      <c r="D57" s="147"/>
      <c r="E57" s="144"/>
      <c r="F57" s="236" t="s">
        <v>4879</v>
      </c>
      <c r="G57" s="147"/>
      <c r="H57" s="144"/>
      <c r="I57" s="144"/>
      <c r="K57" s="147"/>
      <c r="L57" s="147"/>
      <c r="M57" s="147"/>
      <c r="N57" s="147"/>
      <c r="O57" s="147"/>
      <c r="P57" s="144"/>
      <c r="Q57" s="4793">
        <v>2000</v>
      </c>
      <c r="R57" s="4794"/>
      <c r="S57" s="236"/>
      <c r="T57" s="236"/>
      <c r="U57" s="236"/>
      <c r="AA57" s="68"/>
      <c r="AB57" s="68"/>
    </row>
    <row r="58" spans="1:28" s="145" customFormat="1" ht="11.65" customHeight="1">
      <c r="A58" s="147"/>
      <c r="B58" s="147"/>
      <c r="C58" s="236" t="s">
        <v>4876</v>
      </c>
      <c r="D58" s="147"/>
      <c r="E58" s="144"/>
      <c r="F58" s="147" t="s">
        <v>4877</v>
      </c>
      <c r="G58" s="147"/>
      <c r="H58" s="144"/>
      <c r="I58" s="144"/>
      <c r="J58" s="147" t="s">
        <v>4880</v>
      </c>
      <c r="K58" s="147"/>
      <c r="L58" s="147"/>
      <c r="M58" s="147" t="s">
        <v>1125</v>
      </c>
      <c r="N58" s="147"/>
      <c r="O58" s="147"/>
      <c r="P58" s="144"/>
      <c r="Q58" s="4795">
        <v>10000</v>
      </c>
      <c r="R58" s="4796"/>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9">
        <v>8000</v>
      </c>
      <c r="R59" s="4790"/>
      <c r="S59" s="236"/>
      <c r="T59" s="236"/>
      <c r="U59" s="236"/>
      <c r="AA59" s="68"/>
      <c r="AB59" s="68"/>
    </row>
    <row r="60" spans="1:28" s="145" customFormat="1" ht="11.65" customHeight="1">
      <c r="A60" s="147"/>
      <c r="B60" s="147"/>
      <c r="C60" s="147"/>
      <c r="D60" s="147"/>
      <c r="E60" s="144"/>
      <c r="G60" s="147"/>
      <c r="H60" s="144"/>
      <c r="I60" s="144"/>
      <c r="J60" s="236" t="s">
        <v>4878</v>
      </c>
      <c r="K60" s="147"/>
      <c r="L60" s="147"/>
      <c r="M60" s="147" t="s">
        <v>1125</v>
      </c>
      <c r="N60" s="147"/>
      <c r="O60" s="147"/>
      <c r="P60" s="144"/>
      <c r="Q60" s="4789">
        <v>10000</v>
      </c>
      <c r="R60" s="4790"/>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7">
        <v>8000</v>
      </c>
      <c r="R61" s="4798"/>
      <c r="S61" s="236"/>
      <c r="T61" s="236"/>
      <c r="U61" s="236"/>
      <c r="AA61" s="68"/>
      <c r="AB61" s="68"/>
    </row>
    <row r="62" spans="1:28" s="145" customFormat="1" ht="11.65" customHeight="1">
      <c r="A62" s="147"/>
      <c r="B62" s="147"/>
      <c r="C62" s="147" t="s">
        <v>4881</v>
      </c>
      <c r="D62" s="147"/>
      <c r="E62" s="144"/>
      <c r="F62" s="147" t="s">
        <v>3236</v>
      </c>
      <c r="G62" s="147"/>
      <c r="H62" s="144"/>
      <c r="I62" s="144"/>
      <c r="K62" s="147"/>
      <c r="L62" s="147"/>
      <c r="M62" s="147"/>
      <c r="N62" s="147"/>
      <c r="O62" s="147"/>
      <c r="P62" s="144"/>
      <c r="Q62" s="4795">
        <v>2500</v>
      </c>
      <c r="R62" s="4796"/>
      <c r="S62" s="236"/>
      <c r="T62" s="236"/>
      <c r="U62" s="236"/>
      <c r="AA62" s="68"/>
      <c r="AB62" s="68"/>
    </row>
    <row r="63" spans="1:28" s="145" customFormat="1" ht="11.65" customHeight="1">
      <c r="A63" s="147"/>
      <c r="B63" s="147"/>
      <c r="C63" s="147"/>
      <c r="D63" s="147"/>
      <c r="E63" s="144"/>
      <c r="F63" s="147" t="s">
        <v>3235</v>
      </c>
      <c r="G63" s="147"/>
      <c r="H63" s="144"/>
      <c r="I63" s="144"/>
      <c r="K63" s="147"/>
      <c r="L63" s="147"/>
      <c r="M63" s="147"/>
      <c r="N63" s="147"/>
      <c r="O63" s="147"/>
      <c r="P63" s="144"/>
      <c r="Q63" s="4789">
        <v>2500</v>
      </c>
      <c r="R63" s="4790"/>
      <c r="S63" s="236"/>
      <c r="T63" s="236"/>
      <c r="U63" s="236"/>
      <c r="AA63" s="68"/>
      <c r="AB63" s="68"/>
    </row>
    <row r="64" spans="1:28" s="145" customFormat="1" ht="11.65" customHeight="1">
      <c r="A64" s="147"/>
      <c r="B64" s="147"/>
      <c r="C64" s="147"/>
      <c r="D64" s="147"/>
      <c r="E64" s="144"/>
      <c r="F64" s="236" t="s">
        <v>4882</v>
      </c>
      <c r="G64" s="147"/>
      <c r="H64" s="144"/>
      <c r="I64" s="144"/>
      <c r="Q64" s="4789">
        <v>1500</v>
      </c>
      <c r="R64" s="4790"/>
      <c r="S64" s="236"/>
      <c r="T64" s="236"/>
      <c r="U64" s="236"/>
      <c r="AA64" s="68"/>
      <c r="AB64" s="68"/>
    </row>
    <row r="65" spans="1:28" s="145" customFormat="1" ht="11.65" customHeight="1">
      <c r="A65" s="144"/>
      <c r="B65" s="236"/>
      <c r="C65" s="147"/>
      <c r="D65" s="147"/>
      <c r="E65" s="144"/>
      <c r="F65" s="147" t="s">
        <v>4883</v>
      </c>
      <c r="G65" s="147"/>
      <c r="H65" s="144"/>
      <c r="I65" s="144"/>
      <c r="J65" s="147" t="s">
        <v>4884</v>
      </c>
      <c r="K65" s="147"/>
      <c r="L65" s="147"/>
      <c r="M65" s="147"/>
      <c r="N65" s="147"/>
      <c r="O65" s="147"/>
      <c r="P65" s="144"/>
      <c r="Q65" s="4789">
        <v>15000</v>
      </c>
      <c r="R65" s="4790"/>
      <c r="S65" s="236"/>
      <c r="T65" s="236"/>
      <c r="U65" s="236"/>
      <c r="AA65" s="68"/>
      <c r="AB65" s="68"/>
    </row>
    <row r="66" spans="1:28" s="145" customFormat="1" ht="11.65" customHeight="1">
      <c r="A66" s="147"/>
      <c r="B66" s="147"/>
      <c r="C66" s="147"/>
      <c r="D66" s="147"/>
      <c r="E66" s="144"/>
      <c r="F66" s="147" t="s">
        <v>3237</v>
      </c>
      <c r="G66" s="147"/>
      <c r="H66" s="144"/>
      <c r="I66" s="144"/>
      <c r="K66" s="147"/>
      <c r="L66" s="147"/>
      <c r="M66" s="147"/>
      <c r="N66" s="147"/>
      <c r="O66" s="147"/>
      <c r="P66" s="144"/>
      <c r="Q66" s="4801">
        <v>1500</v>
      </c>
      <c r="R66" s="4802"/>
      <c r="S66" s="236"/>
      <c r="T66" s="236"/>
      <c r="U66" s="236"/>
      <c r="AA66" s="68"/>
      <c r="AB66" s="68"/>
    </row>
    <row r="67" spans="1:28" s="145" customFormat="1" ht="11.65" customHeight="1">
      <c r="A67" s="144"/>
      <c r="B67" s="236"/>
      <c r="C67" s="147"/>
      <c r="D67" s="147"/>
      <c r="E67" s="144"/>
      <c r="F67" s="147" t="s">
        <v>4885</v>
      </c>
      <c r="G67" s="147"/>
      <c r="H67" s="144"/>
      <c r="I67" s="144"/>
      <c r="J67" s="147"/>
      <c r="K67" s="147"/>
      <c r="L67" s="147"/>
      <c r="M67" s="147"/>
      <c r="N67" s="147"/>
      <c r="O67" s="147"/>
      <c r="P67" s="144"/>
      <c r="Q67" s="4803" t="s">
        <v>4887</v>
      </c>
      <c r="R67" s="4804"/>
      <c r="S67" s="236"/>
      <c r="T67" s="236"/>
      <c r="U67" s="236"/>
      <c r="AA67" s="68"/>
      <c r="AB67" s="68"/>
    </row>
    <row r="68" spans="1:28" s="145" customFormat="1" ht="11.65" customHeight="1">
      <c r="A68" s="144"/>
      <c r="B68" s="236"/>
      <c r="C68" s="147"/>
      <c r="D68" s="147"/>
      <c r="E68" s="144"/>
      <c r="F68" s="147" t="s">
        <v>4886</v>
      </c>
      <c r="G68" s="147"/>
      <c r="H68" s="144"/>
      <c r="I68" s="144"/>
      <c r="J68" s="147"/>
      <c r="K68" s="147"/>
      <c r="L68" s="147"/>
      <c r="M68" s="147"/>
      <c r="N68" s="147"/>
      <c r="O68" s="147"/>
      <c r="P68" s="144"/>
      <c r="Q68" s="4805" t="s">
        <v>4887</v>
      </c>
      <c r="R68" s="4806"/>
      <c r="S68" s="236"/>
      <c r="T68" s="236"/>
      <c r="U68" s="236"/>
      <c r="AA68" s="68"/>
      <c r="AB68" s="68"/>
    </row>
    <row r="69" spans="1:28" s="145" customFormat="1" ht="11.65" customHeight="1">
      <c r="A69" s="147"/>
      <c r="B69" s="147"/>
      <c r="D69" s="147"/>
      <c r="E69" s="144"/>
      <c r="F69" s="147" t="s">
        <v>3234</v>
      </c>
      <c r="G69" s="147"/>
      <c r="H69" s="144"/>
      <c r="I69" s="144"/>
      <c r="J69" s="147"/>
      <c r="K69" s="147"/>
      <c r="L69" s="147"/>
      <c r="M69" s="147"/>
      <c r="N69" s="147"/>
      <c r="O69" s="147"/>
      <c r="P69" s="144"/>
      <c r="Q69" s="4807">
        <v>1500</v>
      </c>
      <c r="R69" s="4808"/>
      <c r="S69" s="236"/>
      <c r="T69" s="236"/>
      <c r="U69" s="236"/>
      <c r="AA69" s="68"/>
      <c r="AB69" s="68"/>
    </row>
    <row r="70" spans="1:28" s="145" customFormat="1" ht="11.65" customHeight="1">
      <c r="A70" s="147"/>
      <c r="C70" s="147" t="s">
        <v>4888</v>
      </c>
      <c r="D70" s="144"/>
      <c r="E70" s="144"/>
      <c r="F70" s="147" t="s">
        <v>4650</v>
      </c>
      <c r="H70" s="147"/>
      <c r="I70" s="144"/>
      <c r="J70" s="147" t="s">
        <v>888</v>
      </c>
      <c r="K70" s="147"/>
      <c r="L70" s="147"/>
      <c r="M70" s="147"/>
      <c r="N70" s="147"/>
      <c r="O70" s="147"/>
      <c r="P70" s="144"/>
      <c r="Q70" s="4809">
        <v>0.08</v>
      </c>
      <c r="R70" s="4809"/>
      <c r="S70" s="236"/>
      <c r="T70" s="236"/>
      <c r="U70" s="236"/>
      <c r="AA70" s="68"/>
      <c r="AB70" s="68"/>
    </row>
    <row r="71" spans="1:28" s="145" customFormat="1" ht="11.65" customHeight="1">
      <c r="A71" s="147"/>
      <c r="C71" s="147"/>
      <c r="D71" s="144"/>
      <c r="E71" s="144"/>
      <c r="F71" s="147" t="s">
        <v>4004</v>
      </c>
      <c r="H71" s="147"/>
      <c r="I71" s="144"/>
      <c r="J71" s="147" t="s">
        <v>888</v>
      </c>
      <c r="K71" s="147"/>
      <c r="L71" s="147"/>
      <c r="M71" s="147"/>
      <c r="N71" s="147"/>
      <c r="O71" s="147"/>
      <c r="P71" s="144"/>
      <c r="Q71" s="4810">
        <v>0.08</v>
      </c>
      <c r="R71" s="4810"/>
      <c r="S71" s="236"/>
      <c r="T71" s="236"/>
      <c r="U71" s="236"/>
      <c r="AA71" s="68"/>
      <c r="AB71" s="68"/>
    </row>
    <row r="72" spans="1:28" s="145" customFormat="1" ht="11.65" customHeight="1">
      <c r="A72" s="147"/>
      <c r="C72" s="147"/>
      <c r="D72" s="144"/>
      <c r="E72" s="144"/>
      <c r="F72" s="147" t="s">
        <v>4889</v>
      </c>
      <c r="H72" s="147"/>
      <c r="I72" s="144"/>
      <c r="J72" s="147"/>
      <c r="K72" s="147"/>
      <c r="L72" s="147"/>
      <c r="M72" s="147"/>
      <c r="N72" s="147"/>
      <c r="O72" s="147"/>
      <c r="P72" s="144"/>
      <c r="Q72" s="4789">
        <v>2500</v>
      </c>
      <c r="R72" s="4790"/>
      <c r="S72" s="236"/>
      <c r="T72" s="236"/>
      <c r="U72" s="236"/>
      <c r="AA72" s="68"/>
      <c r="AB72" s="68"/>
    </row>
    <row r="73" spans="1:28" s="145" customFormat="1" ht="11.65" customHeight="1">
      <c r="A73" s="147"/>
      <c r="B73" s="147"/>
      <c r="C73" s="147"/>
      <c r="D73" s="144"/>
      <c r="E73" s="144"/>
      <c r="F73" s="147" t="s">
        <v>4651</v>
      </c>
      <c r="I73" s="144"/>
      <c r="J73" s="147" t="s">
        <v>1635</v>
      </c>
      <c r="K73" s="147"/>
      <c r="L73" s="147"/>
      <c r="M73" s="147"/>
      <c r="N73" s="147"/>
      <c r="O73" s="147"/>
      <c r="P73" s="144"/>
      <c r="Q73" s="4789">
        <v>8000</v>
      </c>
      <c r="R73" s="4790"/>
      <c r="S73" s="236"/>
      <c r="T73" s="236"/>
      <c r="U73" s="236"/>
      <c r="AA73" s="68"/>
      <c r="AB73" s="68"/>
    </row>
    <row r="74" spans="1:28" s="145" customFormat="1" ht="11.65" customHeight="1">
      <c r="A74" s="147"/>
      <c r="C74" s="147" t="s">
        <v>4652</v>
      </c>
      <c r="D74" s="144"/>
      <c r="E74" s="144"/>
      <c r="F74" s="147" t="s">
        <v>889</v>
      </c>
      <c r="H74" s="147" t="s">
        <v>1502</v>
      </c>
      <c r="I74" s="144"/>
      <c r="J74" s="147" t="s">
        <v>1430</v>
      </c>
      <c r="K74" s="147"/>
      <c r="L74" s="147"/>
      <c r="M74" s="147"/>
      <c r="N74" s="147"/>
      <c r="O74" s="147"/>
      <c r="P74" s="144"/>
      <c r="Q74" s="4789">
        <v>800</v>
      </c>
      <c r="R74" s="4790"/>
      <c r="S74" s="236"/>
      <c r="T74" s="236"/>
      <c r="U74" s="236"/>
      <c r="AA74" s="68"/>
      <c r="AB74" s="68"/>
    </row>
    <row r="75" spans="1:28" s="145" customFormat="1" ht="11.65" customHeight="1">
      <c r="A75" s="147"/>
      <c r="C75" s="147"/>
      <c r="D75" s="144"/>
      <c r="E75" s="144"/>
      <c r="F75" s="147"/>
      <c r="H75" s="147"/>
      <c r="I75" s="147" t="s">
        <v>3655</v>
      </c>
      <c r="J75" s="147" t="s">
        <v>1430</v>
      </c>
      <c r="K75" s="147"/>
      <c r="L75" s="147"/>
      <c r="M75" s="147"/>
      <c r="N75" s="147"/>
      <c r="O75" s="147"/>
      <c r="P75" s="144"/>
      <c r="Q75" s="4789">
        <v>1000</v>
      </c>
      <c r="R75" s="4790"/>
      <c r="S75" s="236"/>
      <c r="T75" s="236"/>
      <c r="U75" s="236"/>
      <c r="AA75" s="68"/>
      <c r="AB75" s="68"/>
    </row>
    <row r="76" spans="1:28" s="145" customFormat="1" ht="11.65" customHeight="1">
      <c r="A76" s="147"/>
      <c r="B76" s="147"/>
      <c r="C76" s="147"/>
      <c r="D76" s="144"/>
      <c r="E76" s="144"/>
      <c r="H76" s="147" t="s">
        <v>2440</v>
      </c>
      <c r="I76" s="144"/>
      <c r="J76" s="147" t="s">
        <v>1430</v>
      </c>
      <c r="K76" s="147" t="s">
        <v>3215</v>
      </c>
      <c r="L76" s="147"/>
      <c r="M76" s="147"/>
      <c r="N76" s="147"/>
      <c r="O76" s="147"/>
      <c r="P76" s="144"/>
      <c r="Q76" s="4799">
        <v>800</v>
      </c>
      <c r="R76" s="4800"/>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799">
        <v>1500</v>
      </c>
      <c r="R77" s="4800"/>
      <c r="S77" s="236"/>
      <c r="T77" s="236"/>
      <c r="U77" s="236"/>
      <c r="AA77" s="68"/>
      <c r="AB77" s="68"/>
    </row>
    <row r="78" spans="1:28" s="145" customFormat="1" ht="11.65" customHeight="1">
      <c r="A78" s="147"/>
      <c r="B78" s="147"/>
      <c r="C78" s="147"/>
      <c r="D78" s="147"/>
      <c r="E78" s="144"/>
      <c r="F78" s="147" t="s">
        <v>4890</v>
      </c>
      <c r="H78" s="144"/>
      <c r="I78" s="144"/>
      <c r="J78" s="147" t="s">
        <v>3654</v>
      </c>
      <c r="K78" s="147"/>
      <c r="L78" s="147"/>
      <c r="M78" s="147"/>
      <c r="N78" s="147"/>
      <c r="O78" s="147"/>
      <c r="P78" s="144"/>
      <c r="Q78" s="4797">
        <v>1500</v>
      </c>
      <c r="R78" s="4798"/>
      <c r="S78" s="236"/>
      <c r="T78" s="236"/>
      <c r="U78" s="236"/>
      <c r="AA78" s="68"/>
      <c r="AB78" s="68"/>
    </row>
    <row r="79" spans="1:28" s="145" customFormat="1" ht="11.65" customHeight="1">
      <c r="A79" s="147"/>
      <c r="B79" s="147"/>
      <c r="C79" s="147"/>
      <c r="D79" s="144"/>
      <c r="E79" s="144"/>
      <c r="F79" s="147" t="s">
        <v>3326</v>
      </c>
      <c r="I79" s="144"/>
      <c r="J79" s="147" t="s">
        <v>3656</v>
      </c>
      <c r="K79" s="147"/>
      <c r="L79" s="147"/>
      <c r="M79" s="147"/>
      <c r="N79" s="147"/>
      <c r="O79" s="147"/>
      <c r="P79" s="144"/>
      <c r="Q79" s="4813">
        <v>750</v>
      </c>
      <c r="R79" s="4814"/>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15">
        <v>75</v>
      </c>
      <c r="R80" s="4816"/>
      <c r="S80" s="236"/>
      <c r="T80" s="236"/>
      <c r="U80" s="236"/>
      <c r="AA80" s="68"/>
      <c r="AB80" s="68"/>
    </row>
    <row r="81" spans="1:28" ht="11.25" customHeight="1">
      <c r="B81" s="147" t="s">
        <v>1721</v>
      </c>
      <c r="F81" s="1231" t="s">
        <v>3790</v>
      </c>
      <c r="G81" s="236"/>
      <c r="H81" s="236"/>
      <c r="J81" s="147" t="s">
        <v>3796</v>
      </c>
      <c r="K81" s="147" t="s">
        <v>3797</v>
      </c>
      <c r="L81" s="44"/>
      <c r="M81" s="44"/>
      <c r="N81" s="44"/>
      <c r="O81" s="1235" t="s">
        <v>3791</v>
      </c>
      <c r="AA81"/>
      <c r="AB81"/>
    </row>
    <row r="82" spans="1:28" ht="11.25" customHeight="1">
      <c r="F82" s="115"/>
      <c r="H82" s="1232">
        <v>0.09</v>
      </c>
      <c r="J82" s="391">
        <v>1</v>
      </c>
      <c r="K82" s="391">
        <v>50</v>
      </c>
      <c r="Q82" s="4817">
        <v>27500</v>
      </c>
      <c r="R82" s="4817"/>
      <c r="AA82"/>
      <c r="AB82"/>
    </row>
    <row r="83" spans="1:28" ht="11.25" customHeight="1">
      <c r="F83" s="115"/>
      <c r="H83" s="686"/>
      <c r="J83" s="391">
        <v>51</v>
      </c>
      <c r="K83" s="391">
        <v>70</v>
      </c>
      <c r="Q83" s="4818">
        <v>22000</v>
      </c>
      <c r="R83" s="4818"/>
      <c r="AA83"/>
      <c r="AB83"/>
    </row>
    <row r="84" spans="1:28" ht="11.25" customHeight="1">
      <c r="F84" s="115"/>
      <c r="H84" s="1434"/>
      <c r="I84" s="165"/>
      <c r="J84" s="1435">
        <v>71</v>
      </c>
      <c r="K84" s="1436"/>
      <c r="L84" s="165"/>
      <c r="M84" s="165"/>
      <c r="N84" s="165"/>
      <c r="O84" s="165"/>
      <c r="P84" s="1437"/>
      <c r="Q84" s="4819">
        <v>16500</v>
      </c>
      <c r="R84" s="4819"/>
      <c r="AA84"/>
      <c r="AB84"/>
    </row>
    <row r="85" spans="1:28" ht="11.25" customHeight="1">
      <c r="H85" s="1438">
        <v>0.04</v>
      </c>
      <c r="I85" s="1439"/>
      <c r="J85" s="1440">
        <v>1</v>
      </c>
      <c r="K85" s="1440">
        <v>50</v>
      </c>
      <c r="L85" s="1439"/>
      <c r="M85" s="1439"/>
      <c r="N85" s="1439"/>
      <c r="O85" s="1439"/>
      <c r="P85" s="1441"/>
      <c r="Q85" s="4817">
        <v>27500</v>
      </c>
      <c r="R85" s="4817"/>
      <c r="AA85"/>
      <c r="AB85"/>
    </row>
    <row r="86" spans="1:28" ht="11.25" customHeight="1">
      <c r="H86" s="1233"/>
      <c r="J86" s="391">
        <v>51</v>
      </c>
      <c r="K86" s="391">
        <v>70</v>
      </c>
      <c r="Q86" s="4818">
        <v>22000</v>
      </c>
      <c r="R86" s="4818"/>
      <c r="AA86"/>
      <c r="AB86"/>
    </row>
    <row r="87" spans="1:28" ht="11.25" customHeight="1">
      <c r="H87" s="1233"/>
      <c r="J87" s="391">
        <v>71</v>
      </c>
      <c r="K87" s="1233"/>
      <c r="Q87" s="4819">
        <v>16500</v>
      </c>
      <c r="R87" s="4819"/>
      <c r="AA87"/>
      <c r="AB87"/>
    </row>
    <row r="88" spans="1:28" ht="11.25" customHeight="1">
      <c r="F88" s="236" t="s">
        <v>3792</v>
      </c>
      <c r="H88" s="369"/>
      <c r="I88" s="44"/>
      <c r="AA88"/>
      <c r="AB88"/>
    </row>
    <row r="89" spans="1:28" ht="11.25" customHeight="1">
      <c r="H89" s="1234">
        <v>0.09</v>
      </c>
      <c r="I89" s="236"/>
      <c r="Q89" s="4817">
        <v>2285000</v>
      </c>
      <c r="R89" s="4817"/>
      <c r="AA89"/>
      <c r="AB89"/>
    </row>
    <row r="90" spans="1:28" ht="11.25" customHeight="1">
      <c r="H90" s="1234">
        <v>0.04</v>
      </c>
      <c r="I90" s="236"/>
      <c r="Q90" s="4819">
        <v>4000000</v>
      </c>
      <c r="R90" s="4819"/>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11">
        <v>3500000</v>
      </c>
      <c r="R92" s="4812"/>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20">
        <v>0.15</v>
      </c>
      <c r="R93" s="4821"/>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820">
        <v>0.15</v>
      </c>
      <c r="R94" s="4821"/>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20">
        <v>0.15</v>
      </c>
      <c r="R95" s="4821"/>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20">
        <v>0.15</v>
      </c>
      <c r="R96" s="4821"/>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20">
        <v>0.15</v>
      </c>
      <c r="R97" s="4821"/>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20">
        <v>0.15</v>
      </c>
      <c r="R98" s="4821"/>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20" t="s">
        <v>2184</v>
      </c>
      <c r="R99" s="4821"/>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4">
        <v>0</v>
      </c>
      <c r="R100" s="2064">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2">
        <v>0</v>
      </c>
      <c r="R101" s="1912">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1">
        <v>6</v>
      </c>
      <c r="R102" s="2071"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2">
        <v>6</v>
      </c>
      <c r="R103" s="2072"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15">
        <v>3000</v>
      </c>
      <c r="R105" s="4816"/>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4649</v>
      </c>
      <c r="K113" s="147"/>
      <c r="L113" s="147"/>
      <c r="M113" s="147"/>
      <c r="N113" s="147"/>
      <c r="O113" s="147"/>
      <c r="P113" s="144"/>
      <c r="Q113" s="4822">
        <v>0.02</v>
      </c>
      <c r="R113" s="482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9">
        <v>0.02</v>
      </c>
      <c r="R114" s="4809"/>
      <c r="AA114" s="68"/>
      <c r="AB114" s="68"/>
    </row>
    <row r="115" spans="1:28" s="236" customFormat="1" ht="11.65" customHeight="1">
      <c r="A115" s="147"/>
      <c r="B115" s="147" t="s">
        <v>4788</v>
      </c>
      <c r="C115" s="147"/>
      <c r="D115" s="147"/>
      <c r="E115" s="147"/>
      <c r="F115" s="147" t="s">
        <v>4786</v>
      </c>
      <c r="G115" s="147"/>
      <c r="H115" s="147"/>
      <c r="J115" s="147" t="s">
        <v>1638</v>
      </c>
      <c r="K115" s="147"/>
      <c r="L115" s="147"/>
      <c r="M115" s="147"/>
      <c r="N115" s="147"/>
      <c r="O115" s="147"/>
      <c r="Q115" s="2069">
        <v>7.0000000000000007E-2</v>
      </c>
      <c r="R115" s="2070" t="s">
        <v>2843</v>
      </c>
      <c r="AA115" s="68"/>
      <c r="AB115" s="68"/>
    </row>
    <row r="116" spans="1:28" s="236" customFormat="1" ht="11.65" customHeight="1">
      <c r="A116" s="147"/>
      <c r="B116" s="147"/>
      <c r="C116" s="147"/>
      <c r="D116" s="147"/>
      <c r="E116" s="147"/>
      <c r="F116" s="147" t="s">
        <v>4787</v>
      </c>
      <c r="G116" s="147"/>
      <c r="H116" s="147"/>
      <c r="J116" s="147" t="s">
        <v>1638</v>
      </c>
      <c r="K116" s="147"/>
      <c r="L116" s="147"/>
      <c r="M116" s="147"/>
      <c r="N116" s="147"/>
      <c r="O116" s="147"/>
      <c r="Q116" s="2069">
        <v>7.0000000000000007E-2</v>
      </c>
      <c r="R116" s="2070"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10">
        <v>0.03</v>
      </c>
      <c r="R117" s="4810"/>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10">
        <v>0.03</v>
      </c>
      <c r="R118" s="4810"/>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8">
        <v>0</v>
      </c>
      <c r="R119" s="4828"/>
      <c r="S119" s="236"/>
      <c r="T119" s="236"/>
      <c r="U119" s="236"/>
      <c r="AA119" s="68"/>
      <c r="AB119" s="68"/>
    </row>
    <row r="120" spans="1:28" s="145" customFormat="1" ht="11.45" customHeight="1">
      <c r="A120" s="144"/>
      <c r="B120" s="147" t="s">
        <v>4791</v>
      </c>
      <c r="C120" s="147"/>
      <c r="D120" s="147"/>
      <c r="E120" s="144"/>
      <c r="F120" s="147" t="s">
        <v>4792</v>
      </c>
      <c r="G120" s="147"/>
      <c r="H120" s="144"/>
      <c r="I120" s="144"/>
      <c r="J120" s="147" t="s">
        <v>2114</v>
      </c>
      <c r="K120" s="147"/>
      <c r="L120" s="147"/>
      <c r="M120" s="147"/>
      <c r="N120" s="147"/>
      <c r="O120" s="147"/>
      <c r="P120" s="144"/>
      <c r="Q120" s="2077">
        <v>1.2</v>
      </c>
      <c r="R120" s="2078"/>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79">
        <v>1.25</v>
      </c>
      <c r="R121" s="2080"/>
      <c r="S121" s="236"/>
      <c r="T121" s="236"/>
      <c r="U121" s="236"/>
      <c r="AA121" s="68"/>
      <c r="AB121" s="68"/>
    </row>
    <row r="122" spans="1:28" s="145" customFormat="1" ht="11.45" customHeight="1">
      <c r="A122" s="144"/>
      <c r="B122" s="147" t="s">
        <v>4793</v>
      </c>
      <c r="C122" s="147"/>
      <c r="D122" s="147"/>
      <c r="E122" s="144"/>
      <c r="F122" s="147"/>
      <c r="G122" s="147"/>
      <c r="H122" s="144"/>
      <c r="I122" s="144"/>
      <c r="J122" s="147" t="s">
        <v>2114</v>
      </c>
      <c r="K122" s="147"/>
      <c r="L122" s="147"/>
      <c r="M122" s="147"/>
      <c r="N122" s="147"/>
      <c r="O122" s="147"/>
      <c r="P122" s="144"/>
      <c r="Q122" s="2077">
        <v>1.1000000000000001</v>
      </c>
      <c r="R122" s="2078"/>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79">
        <v>1.1499999999999999</v>
      </c>
      <c r="R123" s="2080"/>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4762</v>
      </c>
      <c r="G125" s="147" t="s">
        <v>3224</v>
      </c>
      <c r="I125" s="144"/>
      <c r="J125" s="241" t="s">
        <v>4841</v>
      </c>
      <c r="K125" s="147"/>
      <c r="L125" s="147"/>
      <c r="M125" s="147"/>
      <c r="N125" s="147"/>
      <c r="P125" s="144"/>
      <c r="Q125" s="4823"/>
      <c r="R125" s="4823"/>
      <c r="S125" s="4823"/>
      <c r="T125" s="4823"/>
      <c r="U125" s="144"/>
      <c r="V125" s="702"/>
      <c r="W125" s="702"/>
      <c r="X125" s="148"/>
      <c r="AA125" s="68"/>
      <c r="AB125" s="68"/>
    </row>
    <row r="126" spans="1:28" s="145" customFormat="1" ht="11.65" customHeight="1">
      <c r="A126" s="229"/>
      <c r="B126" s="147"/>
      <c r="C126" s="147"/>
      <c r="D126" s="144"/>
      <c r="F126" s="147"/>
      <c r="G126" s="147" t="s">
        <v>3653</v>
      </c>
      <c r="I126" s="144"/>
      <c r="J126" s="241" t="s">
        <v>4842</v>
      </c>
      <c r="K126" s="147"/>
      <c r="L126" s="147"/>
      <c r="M126" s="147"/>
      <c r="P126" s="144"/>
      <c r="Q126" s="4823"/>
      <c r="R126" s="4823"/>
      <c r="S126" s="4823"/>
      <c r="T126" s="4823"/>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4761</v>
      </c>
      <c r="F128" s="147" t="s">
        <v>477</v>
      </c>
      <c r="G128" s="147" t="s">
        <v>2387</v>
      </c>
      <c r="I128" s="144"/>
      <c r="J128" s="147" t="s">
        <v>2438</v>
      </c>
      <c r="K128" s="147"/>
      <c r="L128" s="147"/>
      <c r="M128" s="147"/>
      <c r="N128" s="147"/>
      <c r="O128" s="147"/>
      <c r="P128" s="144"/>
      <c r="Q128" s="4824">
        <v>0.15</v>
      </c>
      <c r="R128" s="4824"/>
      <c r="S128" s="144"/>
      <c r="T128" s="144"/>
      <c r="U128" s="144"/>
      <c r="V128" s="702"/>
      <c r="W128" s="702"/>
      <c r="X128" s="148"/>
      <c r="AA128" s="68"/>
      <c r="AB128" s="68"/>
    </row>
    <row r="129" spans="1:28" s="145" customFormat="1" ht="11.65" customHeight="1">
      <c r="A129" s="147"/>
      <c r="B129" s="147"/>
      <c r="C129" s="147"/>
      <c r="D129" s="144"/>
      <c r="E129" s="144"/>
      <c r="F129" s="147"/>
      <c r="G129" s="147" t="s">
        <v>4404</v>
      </c>
      <c r="H129" s="147" t="s">
        <v>4756</v>
      </c>
      <c r="J129" s="147" t="s">
        <v>4411</v>
      </c>
      <c r="K129" s="147"/>
      <c r="L129" s="147"/>
      <c r="M129" s="147"/>
      <c r="O129" s="231" t="s">
        <v>4843</v>
      </c>
      <c r="P129" s="144"/>
      <c r="Q129" s="4825">
        <v>1105000</v>
      </c>
      <c r="R129" s="4825"/>
      <c r="S129" s="230"/>
      <c r="T129" s="230"/>
      <c r="U129" s="144"/>
      <c r="V129" s="321"/>
      <c r="W129" s="321"/>
      <c r="X129" s="321"/>
      <c r="AA129" s="68"/>
      <c r="AB129" s="68"/>
    </row>
    <row r="130" spans="1:28" s="145" customFormat="1" ht="11.65" customHeight="1">
      <c r="A130" s="147"/>
      <c r="B130" s="147"/>
      <c r="C130" s="147"/>
      <c r="D130" s="144"/>
      <c r="E130" s="144"/>
      <c r="F130" s="147"/>
      <c r="G130" s="147"/>
      <c r="H130" s="147" t="s">
        <v>4002</v>
      </c>
      <c r="J130" s="147" t="s">
        <v>4411</v>
      </c>
      <c r="K130" s="147"/>
      <c r="L130" s="147"/>
      <c r="M130" s="147"/>
      <c r="O130" s="231" t="s">
        <v>4844</v>
      </c>
      <c r="P130" s="144"/>
      <c r="Q130" s="4829">
        <v>1225000</v>
      </c>
      <c r="R130" s="4829"/>
      <c r="S130" s="230"/>
      <c r="T130" s="230"/>
      <c r="U130" s="144"/>
      <c r="V130" s="321"/>
      <c r="W130" s="321"/>
      <c r="X130" s="321"/>
      <c r="AA130" s="68"/>
      <c r="AB130" s="68"/>
    </row>
    <row r="131" spans="1:28" s="145" customFormat="1" ht="11.65" customHeight="1">
      <c r="A131" s="147"/>
      <c r="B131" s="147"/>
      <c r="C131" s="147"/>
      <c r="D131" s="144"/>
      <c r="E131" s="144"/>
      <c r="F131" s="147"/>
      <c r="G131" s="147"/>
      <c r="H131" s="147" t="s">
        <v>4406</v>
      </c>
      <c r="I131" s="144"/>
      <c r="J131" s="147" t="s">
        <v>4411</v>
      </c>
      <c r="K131" s="147"/>
      <c r="O131" s="231" t="s">
        <v>4845</v>
      </c>
      <c r="Q131" s="4829">
        <v>1105000</v>
      </c>
      <c r="R131" s="4829"/>
      <c r="S131" s="230"/>
      <c r="T131" s="230"/>
      <c r="U131" s="144"/>
      <c r="V131" s="321"/>
      <c r="W131" s="321"/>
      <c r="X131" s="321"/>
      <c r="AA131" s="68"/>
      <c r="AB131" s="68"/>
    </row>
    <row r="132" spans="1:28" s="145" customFormat="1" ht="11.65" customHeight="1">
      <c r="A132" s="147"/>
      <c r="B132" s="147"/>
      <c r="C132" s="147"/>
      <c r="D132" s="144"/>
      <c r="E132" s="144"/>
      <c r="F132" s="147"/>
      <c r="G132" s="147"/>
      <c r="H132" s="147" t="s">
        <v>4405</v>
      </c>
      <c r="I132" s="144"/>
      <c r="J132" s="147" t="s">
        <v>4411</v>
      </c>
      <c r="K132" s="147"/>
      <c r="O132" s="231" t="s">
        <v>4844</v>
      </c>
      <c r="Q132" s="4830">
        <v>1105000</v>
      </c>
      <c r="R132" s="4831"/>
      <c r="S132" s="230"/>
      <c r="T132" s="230"/>
      <c r="U132" s="144"/>
      <c r="V132" s="321"/>
      <c r="W132" s="321"/>
      <c r="X132" s="321"/>
      <c r="AA132" s="68"/>
      <c r="AB132" s="68"/>
    </row>
    <row r="133" spans="1:28" s="145" customFormat="1" ht="11.65"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5"/>
      <c r="H134" s="147" t="s">
        <v>2386</v>
      </c>
      <c r="J134" s="4809">
        <v>0.35</v>
      </c>
      <c r="K134" s="4809"/>
      <c r="L134" s="147"/>
      <c r="M134" s="147"/>
      <c r="N134" s="147"/>
      <c r="O134" s="147"/>
      <c r="P134" s="147"/>
      <c r="Q134" s="147"/>
      <c r="R134" s="147"/>
    </row>
    <row r="135" spans="1:28" ht="11.25" customHeight="1">
      <c r="G135" s="147"/>
      <c r="H135" s="147" t="s">
        <v>4003</v>
      </c>
      <c r="I135" s="144"/>
      <c r="J135" s="4810">
        <v>0.35</v>
      </c>
      <c r="K135" s="4810"/>
      <c r="L135" s="147"/>
      <c r="M135" s="147"/>
      <c r="N135" s="147"/>
      <c r="O135" s="147"/>
      <c r="P135" s="147"/>
      <c r="Q135" s="147"/>
      <c r="R135" s="147"/>
    </row>
    <row r="136" spans="1:28" ht="11.25" customHeight="1">
      <c r="A136" s="229"/>
      <c r="G136" s="147"/>
      <c r="H136" s="147" t="s">
        <v>2938</v>
      </c>
      <c r="I136" s="144"/>
      <c r="J136" s="4842">
        <v>0.3</v>
      </c>
      <c r="K136" s="4842"/>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6"/>
      <c r="R138" s="2066"/>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832">
        <v>30000000</v>
      </c>
      <c r="R139" s="4832"/>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4410</v>
      </c>
      <c r="H143" s="147"/>
      <c r="I143" s="144"/>
      <c r="J143" s="147" t="s">
        <v>4412</v>
      </c>
      <c r="K143" s="147"/>
      <c r="L143" s="147"/>
      <c r="M143" s="147"/>
      <c r="N143" s="147"/>
      <c r="O143" s="147"/>
      <c r="P143" s="144"/>
      <c r="Q143" s="4833"/>
      <c r="R143" s="4834"/>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3230</v>
      </c>
      <c r="K144" s="147"/>
      <c r="L144" s="147"/>
      <c r="M144" s="147"/>
      <c r="N144" s="147"/>
      <c r="O144" s="147"/>
      <c r="P144" s="144"/>
      <c r="Q144" s="4835">
        <v>4000000</v>
      </c>
      <c r="R144" s="4835"/>
      <c r="S144" s="230"/>
      <c r="T144" s="230"/>
      <c r="U144" s="144"/>
      <c r="V144" s="321"/>
      <c r="W144" s="321"/>
      <c r="X144" s="321"/>
      <c r="AA144" s="68"/>
      <c r="AB144" s="68"/>
    </row>
    <row r="145" spans="1:28" s="145" customFormat="1" ht="11.65" customHeight="1">
      <c r="A145" s="147"/>
      <c r="B145" s="147"/>
      <c r="C145" s="147"/>
      <c r="D145" s="144"/>
      <c r="E145" s="144"/>
      <c r="F145" s="147"/>
      <c r="G145" s="147" t="s">
        <v>4409</v>
      </c>
      <c r="H145" s="144"/>
      <c r="I145" s="144"/>
      <c r="J145" s="147" t="s">
        <v>4411</v>
      </c>
      <c r="K145" s="147"/>
      <c r="O145" s="147" t="s">
        <v>4407</v>
      </c>
      <c r="Q145" s="4830">
        <v>1035000</v>
      </c>
      <c r="R145" s="4831"/>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6">
        <v>0.05</v>
      </c>
      <c r="R147" s="4836"/>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6">
        <v>0.4</v>
      </c>
      <c r="R148" s="4826"/>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7">
        <v>0.02</v>
      </c>
      <c r="R149" s="4827"/>
      <c r="S149" s="144"/>
      <c r="T149" s="144"/>
      <c r="U149" s="144"/>
      <c r="V149" s="702"/>
      <c r="W149" s="702"/>
      <c r="X149" s="148"/>
      <c r="AA149" s="68"/>
      <c r="AB149" s="68"/>
    </row>
    <row r="150" spans="1:28" s="145" customFormat="1" ht="12.75" customHeight="1">
      <c r="A150" s="4837" t="s">
        <v>4647</v>
      </c>
      <c r="B150" s="4837"/>
      <c r="C150" s="1909"/>
      <c r="D150" s="4838"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7"/>
      <c r="B151" s="4837"/>
      <c r="C151" s="2065">
        <v>2024</v>
      </c>
      <c r="D151" s="4839"/>
      <c r="E151" s="239"/>
      <c r="F151" s="239"/>
      <c r="G151" s="239"/>
      <c r="H151" s="239"/>
      <c r="I151" s="239"/>
    </row>
    <row r="152" spans="1:28" ht="13.5">
      <c r="A152" s="4837"/>
      <c r="B152" s="4837"/>
      <c r="C152" s="147"/>
      <c r="D152" s="4839"/>
      <c r="H152" s="4840" t="s">
        <v>4645</v>
      </c>
      <c r="J152" s="142" t="s">
        <v>747</v>
      </c>
      <c r="K152" s="142"/>
      <c r="L152" s="223"/>
    </row>
    <row r="153" spans="1:28" ht="13.5">
      <c r="A153" s="4837"/>
      <c r="B153" s="4837"/>
      <c r="C153" s="702" t="s">
        <v>750</v>
      </c>
      <c r="D153" s="1241" t="s">
        <v>2923</v>
      </c>
      <c r="F153" s="702" t="s">
        <v>4643</v>
      </c>
      <c r="H153" s="4841"/>
      <c r="J153" s="312" t="s">
        <v>750</v>
      </c>
      <c r="K153" s="312" t="s">
        <v>748</v>
      </c>
      <c r="L153" s="313" t="s">
        <v>749</v>
      </c>
    </row>
    <row r="154" spans="1:28" ht="10.5" customHeight="1">
      <c r="C154" s="321">
        <v>0</v>
      </c>
      <c r="D154" s="650">
        <v>72088</v>
      </c>
      <c r="E154" s="1243" t="s">
        <v>4644</v>
      </c>
      <c r="F154" s="1908">
        <v>2.4</v>
      </c>
      <c r="G154" s="878" t="s">
        <v>1210</v>
      </c>
      <c r="H154" s="1910">
        <f>D154*F154</f>
        <v>173011.19999999998</v>
      </c>
      <c r="J154" s="321">
        <v>0</v>
      </c>
      <c r="K154" s="321">
        <v>0.7</v>
      </c>
      <c r="L154" s="321">
        <v>1</v>
      </c>
    </row>
    <row r="155" spans="1:28" ht="10.5" customHeight="1">
      <c r="C155" s="321">
        <v>1</v>
      </c>
      <c r="D155" s="650">
        <v>82638</v>
      </c>
      <c r="E155" s="1243" t="s">
        <v>4644</v>
      </c>
      <c r="F155" s="1908">
        <v>2.4</v>
      </c>
      <c r="G155" s="878" t="s">
        <v>1210</v>
      </c>
      <c r="H155" s="1910">
        <f t="shared" ref="H155:H158" si="0">D155*F155</f>
        <v>198331.19999999998</v>
      </c>
      <c r="J155" s="321">
        <v>1</v>
      </c>
      <c r="K155" s="321">
        <v>0.75</v>
      </c>
      <c r="L155" s="321">
        <v>1.5</v>
      </c>
    </row>
    <row r="156" spans="1:28" ht="10.5" customHeight="1">
      <c r="C156" s="321">
        <v>2</v>
      </c>
      <c r="D156" s="650">
        <v>100490</v>
      </c>
      <c r="E156" s="1243" t="s">
        <v>4644</v>
      </c>
      <c r="F156" s="1908">
        <v>2.4</v>
      </c>
      <c r="G156" s="878" t="s">
        <v>1210</v>
      </c>
      <c r="H156" s="1910">
        <f t="shared" si="0"/>
        <v>241176</v>
      </c>
      <c r="J156" s="321">
        <v>2</v>
      </c>
      <c r="K156" s="321">
        <v>0.9</v>
      </c>
      <c r="L156" s="321">
        <v>3</v>
      </c>
    </row>
    <row r="157" spans="1:28" ht="10.5" customHeight="1">
      <c r="C157" s="321">
        <v>3</v>
      </c>
      <c r="D157" s="650">
        <v>130002</v>
      </c>
      <c r="E157" s="1243" t="s">
        <v>4644</v>
      </c>
      <c r="F157" s="1908">
        <v>2.4</v>
      </c>
      <c r="G157" s="878" t="s">
        <v>1210</v>
      </c>
      <c r="H157" s="1910">
        <f t="shared" si="0"/>
        <v>312004.8</v>
      </c>
      <c r="J157" s="321">
        <v>3</v>
      </c>
      <c r="K157" s="321">
        <v>1.04</v>
      </c>
      <c r="L157" s="321">
        <v>4.5</v>
      </c>
    </row>
    <row r="158" spans="1:28" ht="10.5" customHeight="1">
      <c r="C158" s="321" t="s">
        <v>2924</v>
      </c>
      <c r="D158" s="650">
        <v>142701</v>
      </c>
      <c r="E158" s="1243" t="s">
        <v>4644</v>
      </c>
      <c r="F158" s="1908">
        <v>2.4</v>
      </c>
      <c r="G158" s="878" t="s">
        <v>1210</v>
      </c>
      <c r="H158" s="1911">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3" t="s">
        <v>3315</v>
      </c>
      <c r="E162" s="236"/>
      <c r="F162" s="236"/>
    </row>
    <row r="163" spans="2:37" ht="10.5" customHeight="1">
      <c r="C163" s="3303"/>
      <c r="E163" s="236"/>
      <c r="F163" s="236"/>
    </row>
    <row r="164" spans="2:37" ht="10.5" customHeight="1">
      <c r="C164" s="330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69" t="s">
        <v>2483</v>
      </c>
      <c r="N165" s="433" t="s">
        <v>3220</v>
      </c>
      <c r="O165" s="433" t="s">
        <v>3379</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0" t="s">
        <v>2386</v>
      </c>
      <c r="N166" s="776" t="s">
        <v>1246</v>
      </c>
      <c r="O166" s="982" t="s">
        <v>3380</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0" t="s">
        <v>2386</v>
      </c>
      <c r="N167" s="776" t="s">
        <v>1575</v>
      </c>
      <c r="O167" s="982" t="s">
        <v>3381</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0" t="s">
        <v>2386</v>
      </c>
      <c r="N168" s="776" t="s">
        <v>1575</v>
      </c>
      <c r="O168" s="982" t="s">
        <v>3382</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0" t="s">
        <v>1121</v>
      </c>
      <c r="N169" s="776" t="s">
        <v>1652</v>
      </c>
      <c r="O169" s="982" t="s">
        <v>3383</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0" t="s">
        <v>2386</v>
      </c>
      <c r="N170" s="776" t="s">
        <v>1240</v>
      </c>
      <c r="O170" s="982" t="s">
        <v>3384</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0" t="s">
        <v>2386</v>
      </c>
      <c r="N171" s="776" t="s">
        <v>159</v>
      </c>
      <c r="O171" s="982" t="s">
        <v>3385</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0" t="s">
        <v>1121</v>
      </c>
      <c r="N172" s="776" t="s">
        <v>1130</v>
      </c>
      <c r="O172" s="982" t="s">
        <v>3386</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0" t="s">
        <v>1121</v>
      </c>
      <c r="N173" s="776" t="s">
        <v>1130</v>
      </c>
      <c r="O173" s="982" t="s">
        <v>3387</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0" t="s">
        <v>2386</v>
      </c>
      <c r="N174" s="776" t="s">
        <v>1652</v>
      </c>
      <c r="O174" s="982" t="s">
        <v>3388</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0" t="s">
        <v>2386</v>
      </c>
      <c r="N175" s="776" t="s">
        <v>1575</v>
      </c>
      <c r="O175" s="982" t="s">
        <v>3389</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0" t="s">
        <v>1121</v>
      </c>
      <c r="N176" s="776" t="s">
        <v>1240</v>
      </c>
      <c r="O176" s="982" t="s">
        <v>3390</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0" t="s">
        <v>2386</v>
      </c>
      <c r="N177" s="776" t="s">
        <v>1240</v>
      </c>
      <c r="O177" s="982" t="s">
        <v>3391</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0" t="s">
        <v>1121</v>
      </c>
      <c r="N178" s="776" t="s">
        <v>1575</v>
      </c>
      <c r="O178" s="982" t="s">
        <v>3392</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0" t="s">
        <v>1121</v>
      </c>
      <c r="N179" s="776" t="s">
        <v>1575</v>
      </c>
      <c r="O179" s="982" t="s">
        <v>3393</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0" t="s">
        <v>1121</v>
      </c>
      <c r="N180" s="776" t="s">
        <v>1246</v>
      </c>
      <c r="O180" s="982" t="s">
        <v>3394</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0" t="s">
        <v>2386</v>
      </c>
      <c r="N181" s="776" t="s">
        <v>1246</v>
      </c>
      <c r="O181" s="982" t="s">
        <v>3395</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0" t="s">
        <v>2386</v>
      </c>
      <c r="N182" s="776" t="s">
        <v>1250</v>
      </c>
      <c r="O182" s="982" t="s">
        <v>3396</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0" t="s">
        <v>2386</v>
      </c>
      <c r="N183" s="776" t="s">
        <v>1130</v>
      </c>
      <c r="O183" s="982" t="s">
        <v>3397</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0" t="s">
        <v>2386</v>
      </c>
      <c r="N184" s="776" t="s">
        <v>1652</v>
      </c>
      <c r="O184" s="982" t="s">
        <v>3398</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0" t="s">
        <v>2386</v>
      </c>
      <c r="N185" s="776" t="s">
        <v>1575</v>
      </c>
      <c r="O185" s="982" t="s">
        <v>3399</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0" t="s">
        <v>2386</v>
      </c>
      <c r="N186" s="776" t="s">
        <v>1246</v>
      </c>
      <c r="O186" s="982" t="s">
        <v>3400</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0" t="s">
        <v>1121</v>
      </c>
      <c r="N187" s="776" t="s">
        <v>1130</v>
      </c>
      <c r="O187" s="982" t="s">
        <v>3401</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0" t="s">
        <v>2386</v>
      </c>
      <c r="N188" s="776" t="s">
        <v>1422</v>
      </c>
      <c r="O188" s="982" t="s">
        <v>3402</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0" t="s">
        <v>2386</v>
      </c>
      <c r="N189" s="776" t="s">
        <v>1575</v>
      </c>
      <c r="O189" s="982" t="s">
        <v>3403</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0" t="s">
        <v>1121</v>
      </c>
      <c r="N190" s="776" t="s">
        <v>1246</v>
      </c>
      <c r="O190" s="982" t="s">
        <v>3404</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0" t="s">
        <v>2386</v>
      </c>
      <c r="N191" s="776" t="s">
        <v>154</v>
      </c>
      <c r="O191" s="982" t="s">
        <v>3405</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0" t="s">
        <v>2386</v>
      </c>
      <c r="N192" s="776" t="s">
        <v>1422</v>
      </c>
      <c r="O192" s="982" t="s">
        <v>3406</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0" t="s">
        <v>1121</v>
      </c>
      <c r="N193" s="776" t="s">
        <v>1130</v>
      </c>
      <c r="O193" s="982" t="s">
        <v>3407</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0" t="s">
        <v>1121</v>
      </c>
      <c r="N194" s="776" t="s">
        <v>159</v>
      </c>
      <c r="O194" s="982" t="s">
        <v>3408</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0" t="s">
        <v>2386</v>
      </c>
      <c r="N195" s="776" t="s">
        <v>1652</v>
      </c>
      <c r="O195" s="982" t="s">
        <v>3409</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0" t="s">
        <v>1121</v>
      </c>
      <c r="N196" s="776" t="s">
        <v>1130</v>
      </c>
      <c r="O196" s="982" t="s">
        <v>3410</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0" t="s">
        <v>2386</v>
      </c>
      <c r="N197" s="776" t="s">
        <v>1575</v>
      </c>
      <c r="O197" s="982" t="s">
        <v>3411</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0" t="s">
        <v>1121</v>
      </c>
      <c r="N198" s="776" t="s">
        <v>1130</v>
      </c>
      <c r="O198" s="982" t="s">
        <v>3412</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0" t="s">
        <v>2386</v>
      </c>
      <c r="N199" s="776" t="s">
        <v>1575</v>
      </c>
      <c r="O199" s="982" t="s">
        <v>3413</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0" t="s">
        <v>2386</v>
      </c>
      <c r="N200" s="776" t="s">
        <v>1652</v>
      </c>
      <c r="O200" s="982" t="s">
        <v>3414</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0" t="s">
        <v>2386</v>
      </c>
      <c r="N201" s="776" t="s">
        <v>1250</v>
      </c>
      <c r="O201" s="982" t="s">
        <v>3415</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0" t="s">
        <v>2386</v>
      </c>
      <c r="N202" s="776" t="s">
        <v>1575</v>
      </c>
      <c r="O202" s="982" t="s">
        <v>3416</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0" t="s">
        <v>1121</v>
      </c>
      <c r="N203" s="776" t="s">
        <v>1130</v>
      </c>
      <c r="O203" s="982" t="s">
        <v>3417</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0" t="s">
        <v>2386</v>
      </c>
      <c r="N204" s="776" t="s">
        <v>1240</v>
      </c>
      <c r="O204" s="982" t="s">
        <v>3418</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0" t="s">
        <v>2386</v>
      </c>
      <c r="N205" s="776" t="s">
        <v>1652</v>
      </c>
      <c r="O205" s="982" t="s">
        <v>3419</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0" t="s">
        <v>2386</v>
      </c>
      <c r="N206" s="776" t="s">
        <v>1422</v>
      </c>
      <c r="O206" s="982" t="s">
        <v>3420</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0" t="s">
        <v>1121</v>
      </c>
      <c r="N207" s="776" t="s">
        <v>1130</v>
      </c>
      <c r="O207" s="982" t="s">
        <v>3421</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0" t="s">
        <v>2386</v>
      </c>
      <c r="N208" s="776" t="s">
        <v>1652</v>
      </c>
      <c r="O208" s="982" t="s">
        <v>3422</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0" t="s">
        <v>1121</v>
      </c>
      <c r="N209" s="776" t="s">
        <v>1130</v>
      </c>
      <c r="O209" s="982" t="s">
        <v>3423</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0" t="s">
        <v>2386</v>
      </c>
      <c r="N210" s="776" t="s">
        <v>1240</v>
      </c>
      <c r="O210" s="982" t="s">
        <v>3424</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0" t="s">
        <v>2386</v>
      </c>
      <c r="N211" s="776" t="s">
        <v>1652</v>
      </c>
      <c r="O211" s="982" t="s">
        <v>3425</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0" t="s">
        <v>1121</v>
      </c>
      <c r="N212" s="776" t="s">
        <v>1652</v>
      </c>
      <c r="O212" s="982" t="s">
        <v>3426</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0" t="s">
        <v>1121</v>
      </c>
      <c r="N213" s="776" t="s">
        <v>1130</v>
      </c>
      <c r="O213" s="982" t="s">
        <v>3427</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0" t="s">
        <v>2386</v>
      </c>
      <c r="N214" s="776" t="s">
        <v>1652</v>
      </c>
      <c r="O214" s="982" t="s">
        <v>3428</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0" t="s">
        <v>2386</v>
      </c>
      <c r="N215" s="776" t="s">
        <v>1575</v>
      </c>
      <c r="O215" s="982" t="s">
        <v>3429</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0" t="s">
        <v>2386</v>
      </c>
      <c r="N216" s="776" t="s">
        <v>1246</v>
      </c>
      <c r="O216" s="982" t="s">
        <v>3430</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0" t="s">
        <v>2386</v>
      </c>
      <c r="N217" s="776" t="s">
        <v>159</v>
      </c>
      <c r="O217" s="982" t="s">
        <v>3431</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0" t="s">
        <v>2386</v>
      </c>
      <c r="N218" s="776" t="s">
        <v>1250</v>
      </c>
      <c r="O218" s="982" t="s">
        <v>3432</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0" t="s">
        <v>2386</v>
      </c>
      <c r="N219" s="776" t="s">
        <v>1246</v>
      </c>
      <c r="O219" s="982" t="s">
        <v>3433</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0" t="s">
        <v>2386</v>
      </c>
      <c r="N220" s="776" t="s">
        <v>1130</v>
      </c>
      <c r="O220" s="982" t="s">
        <v>3434</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0" t="s">
        <v>1121</v>
      </c>
      <c r="N221" s="776" t="s">
        <v>1130</v>
      </c>
      <c r="O221" s="982" t="s">
        <v>3435</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0" t="s">
        <v>1121</v>
      </c>
      <c r="N222" s="776" t="s">
        <v>1130</v>
      </c>
      <c r="O222" s="982" t="s">
        <v>3436</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0" t="s">
        <v>1121</v>
      </c>
      <c r="N223" s="776" t="s">
        <v>1130</v>
      </c>
      <c r="O223" s="982" t="s">
        <v>3437</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0" t="s">
        <v>2386</v>
      </c>
      <c r="N224" s="776" t="s">
        <v>159</v>
      </c>
      <c r="O224" s="982" t="s">
        <v>3438</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0" t="s">
        <v>1121</v>
      </c>
      <c r="N225" s="776" t="s">
        <v>1130</v>
      </c>
      <c r="O225" s="982" t="s">
        <v>3439</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0" t="s">
        <v>2386</v>
      </c>
      <c r="N226" s="776" t="s">
        <v>1130</v>
      </c>
      <c r="O226" s="982" t="s">
        <v>3440</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0" t="s">
        <v>2386</v>
      </c>
      <c r="N227" s="776" t="s">
        <v>1250</v>
      </c>
      <c r="O227" s="982" t="s">
        <v>3441</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0" t="s">
        <v>1121</v>
      </c>
      <c r="N228" s="776" t="s">
        <v>1246</v>
      </c>
      <c r="O228" s="982" t="s">
        <v>3442</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0" t="s">
        <v>2386</v>
      </c>
      <c r="N229" s="776" t="s">
        <v>1130</v>
      </c>
      <c r="O229" s="982" t="s">
        <v>3443</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0" t="s">
        <v>2386</v>
      </c>
      <c r="N230" s="776" t="s">
        <v>1652</v>
      </c>
      <c r="O230" s="982" t="s">
        <v>3444</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0" t="s">
        <v>2386</v>
      </c>
      <c r="N231" s="776" t="s">
        <v>159</v>
      </c>
      <c r="O231" s="982" t="s">
        <v>3445</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0" t="s">
        <v>1121</v>
      </c>
      <c r="N232" s="776" t="s">
        <v>1130</v>
      </c>
      <c r="O232" s="982" t="s">
        <v>3446</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0" t="s">
        <v>2386</v>
      </c>
      <c r="N233" s="776" t="s">
        <v>159</v>
      </c>
      <c r="O233" s="982" t="s">
        <v>3447</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0" t="s">
        <v>1121</v>
      </c>
      <c r="N234" s="776" t="s">
        <v>1130</v>
      </c>
      <c r="O234" s="982" t="s">
        <v>3448</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0" t="s">
        <v>2386</v>
      </c>
      <c r="N235" s="776" t="s">
        <v>1240</v>
      </c>
      <c r="O235" s="982" t="s">
        <v>3449</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0" t="s">
        <v>2386</v>
      </c>
      <c r="N236" s="776" t="s">
        <v>1130</v>
      </c>
      <c r="O236" s="982" t="s">
        <v>3450</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0" t="s">
        <v>2386</v>
      </c>
      <c r="N237" s="776" t="s">
        <v>154</v>
      </c>
      <c r="O237" s="982" t="s">
        <v>3451</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0" t="s">
        <v>2386</v>
      </c>
      <c r="N238" s="776" t="s">
        <v>159</v>
      </c>
      <c r="O238" s="982" t="s">
        <v>3452</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0" t="s">
        <v>1121</v>
      </c>
      <c r="N239" s="776" t="s">
        <v>1130</v>
      </c>
      <c r="O239" s="982" t="s">
        <v>3453</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0" t="s">
        <v>1121</v>
      </c>
      <c r="N240" s="776" t="s">
        <v>1130</v>
      </c>
      <c r="O240" s="982" t="s">
        <v>3454</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0" t="s">
        <v>1121</v>
      </c>
      <c r="N241" s="776" t="s">
        <v>1240</v>
      </c>
      <c r="O241" s="982" t="s">
        <v>3455</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0" t="s">
        <v>2386</v>
      </c>
      <c r="N242" s="776" t="s">
        <v>1652</v>
      </c>
      <c r="O242" s="982" t="s">
        <v>3456</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0" t="s">
        <v>2386</v>
      </c>
      <c r="N243" s="776" t="s">
        <v>1130</v>
      </c>
      <c r="O243" s="982" t="s">
        <v>3457</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0" t="s">
        <v>1121</v>
      </c>
      <c r="N244" s="776" t="s">
        <v>1130</v>
      </c>
      <c r="O244" s="982" t="s">
        <v>3458</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0" t="s">
        <v>2386</v>
      </c>
      <c r="N245" s="776" t="s">
        <v>1575</v>
      </c>
      <c r="O245" s="982" t="s">
        <v>3459</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0" t="s">
        <v>2386</v>
      </c>
      <c r="N246" s="776" t="s">
        <v>1250</v>
      </c>
      <c r="O246" s="982" t="s">
        <v>3460</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0" t="s">
        <v>2386</v>
      </c>
      <c r="N247" s="776" t="s">
        <v>1250</v>
      </c>
      <c r="O247" s="982" t="s">
        <v>3461</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0" t="s">
        <v>2386</v>
      </c>
      <c r="N248" s="776" t="s">
        <v>1240</v>
      </c>
      <c r="O248" s="982" t="s">
        <v>3462</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0" t="s">
        <v>2386</v>
      </c>
      <c r="N249" s="776" t="s">
        <v>1240</v>
      </c>
      <c r="O249" s="982" t="s">
        <v>3463</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0" t="s">
        <v>2386</v>
      </c>
      <c r="N250" s="776" t="s">
        <v>1130</v>
      </c>
      <c r="O250" s="982" t="s">
        <v>3464</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0" t="s">
        <v>2386</v>
      </c>
      <c r="N251" s="776" t="s">
        <v>1575</v>
      </c>
      <c r="O251" s="982" t="s">
        <v>3465</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0" t="s">
        <v>2386</v>
      </c>
      <c r="N252" s="776" t="s">
        <v>1240</v>
      </c>
      <c r="O252" s="982" t="s">
        <v>3466</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0" t="s">
        <v>2386</v>
      </c>
      <c r="N253" s="776" t="s">
        <v>1652</v>
      </c>
      <c r="O253" s="982" t="s">
        <v>3467</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0" t="s">
        <v>1121</v>
      </c>
      <c r="N254" s="776" t="s">
        <v>1246</v>
      </c>
      <c r="O254" s="982" t="s">
        <v>3468</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3149</v>
      </c>
      <c r="L255" s="776" t="s">
        <v>398</v>
      </c>
      <c r="M255" s="1870" t="s">
        <v>2386</v>
      </c>
      <c r="N255" s="776" t="s">
        <v>1250</v>
      </c>
      <c r="O255" s="982" t="s">
        <v>3469</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0" t="s">
        <v>2386</v>
      </c>
      <c r="N256" s="776" t="s">
        <v>1246</v>
      </c>
      <c r="O256" s="982" t="s">
        <v>3470</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0" t="s">
        <v>1121</v>
      </c>
      <c r="N257" s="776" t="s">
        <v>1575</v>
      </c>
      <c r="O257" s="982" t="s">
        <v>3471</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0" t="s">
        <v>2386</v>
      </c>
      <c r="N258" s="776" t="s">
        <v>1130</v>
      </c>
      <c r="O258" s="982" t="s">
        <v>3472</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0" t="s">
        <v>2386</v>
      </c>
      <c r="N259" s="776" t="s">
        <v>1240</v>
      </c>
      <c r="O259" s="982" t="s">
        <v>3473</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0" t="s">
        <v>2386</v>
      </c>
      <c r="N260" s="776" t="s">
        <v>159</v>
      </c>
      <c r="O260" s="982" t="s">
        <v>3474</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0" t="s">
        <v>2386</v>
      </c>
      <c r="N261" s="776" t="s">
        <v>154</v>
      </c>
      <c r="O261" s="982" t="s">
        <v>3475</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0" t="s">
        <v>2386</v>
      </c>
      <c r="N262" s="776" t="s">
        <v>1250</v>
      </c>
      <c r="O262" s="982" t="s">
        <v>3476</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0" t="s">
        <v>2386</v>
      </c>
      <c r="N263" s="776" t="s">
        <v>1246</v>
      </c>
      <c r="O263" s="982" t="s">
        <v>3477</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0" t="s">
        <v>2386</v>
      </c>
      <c r="N264" s="776" t="s">
        <v>1130</v>
      </c>
      <c r="O264" s="982" t="s">
        <v>3478</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0" t="s">
        <v>2386</v>
      </c>
      <c r="N265" s="776" t="s">
        <v>1652</v>
      </c>
      <c r="O265" s="982" t="s">
        <v>3479</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0" t="s">
        <v>2386</v>
      </c>
      <c r="N266" s="776" t="s">
        <v>1652</v>
      </c>
      <c r="O266" s="982" t="s">
        <v>3480</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0" t="s">
        <v>2386</v>
      </c>
      <c r="N267" s="776" t="s">
        <v>1130</v>
      </c>
      <c r="O267" s="982" t="s">
        <v>3481</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0" t="s">
        <v>2386</v>
      </c>
      <c r="N268" s="776" t="s">
        <v>1246</v>
      </c>
      <c r="O268" s="982" t="s">
        <v>3482</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3148</v>
      </c>
      <c r="L269" s="776" t="s">
        <v>398</v>
      </c>
      <c r="M269" s="1870" t="s">
        <v>2386</v>
      </c>
      <c r="N269" s="776" t="s">
        <v>1130</v>
      </c>
      <c r="O269" s="982" t="s">
        <v>3483</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0" t="s">
        <v>2386</v>
      </c>
      <c r="N270" s="776" t="s">
        <v>1130</v>
      </c>
      <c r="O270" s="982" t="s">
        <v>3484</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0" t="s">
        <v>1121</v>
      </c>
      <c r="N271" s="776" t="s">
        <v>154</v>
      </c>
      <c r="O271" s="982" t="s">
        <v>3485</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0" t="s">
        <v>1121</v>
      </c>
      <c r="N272" s="776" t="s">
        <v>1130</v>
      </c>
      <c r="O272" s="982" t="s">
        <v>3486</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0" t="s">
        <v>2386</v>
      </c>
      <c r="N273" s="776" t="s">
        <v>159</v>
      </c>
      <c r="O273" s="982" t="s">
        <v>3487</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0" t="s">
        <v>2386</v>
      </c>
      <c r="N274" s="776" t="s">
        <v>159</v>
      </c>
      <c r="O274" s="982" t="s">
        <v>3488</v>
      </c>
      <c r="P274" s="241" t="s">
        <v>2143</v>
      </c>
      <c r="Q274" s="241"/>
      <c r="R274" s="147"/>
      <c r="S274" s="236"/>
      <c r="T274" s="391" t="s">
        <v>3657</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0" t="s">
        <v>1121</v>
      </c>
      <c r="N275" s="776" t="s">
        <v>1130</v>
      </c>
      <c r="O275" s="982" t="s">
        <v>3489</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0" t="s">
        <v>2386</v>
      </c>
      <c r="N276" s="776" t="s">
        <v>1240</v>
      </c>
      <c r="O276" s="982" t="s">
        <v>3490</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0" t="s">
        <v>1121</v>
      </c>
      <c r="N277" s="776" t="s">
        <v>1130</v>
      </c>
      <c r="O277" s="982" t="s">
        <v>3491</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0" t="s">
        <v>2386</v>
      </c>
      <c r="N278" s="776" t="s">
        <v>1575</v>
      </c>
      <c r="O278" s="982" t="s">
        <v>3492</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0" t="s">
        <v>1121</v>
      </c>
      <c r="N279" s="776" t="s">
        <v>1130</v>
      </c>
      <c r="O279" s="982" t="s">
        <v>3493</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0" t="s">
        <v>2386</v>
      </c>
      <c r="N280" s="776" t="s">
        <v>1130</v>
      </c>
      <c r="O280" s="982" t="s">
        <v>3494</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0" t="s">
        <v>2386</v>
      </c>
      <c r="N281" s="776" t="s">
        <v>1240</v>
      </c>
      <c r="O281" s="982" t="s">
        <v>3495</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0" t="s">
        <v>2386</v>
      </c>
      <c r="N282" s="776" t="s">
        <v>1130</v>
      </c>
      <c r="O282" s="982" t="s">
        <v>3496</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0" t="s">
        <v>2386</v>
      </c>
      <c r="N283" s="776" t="s">
        <v>154</v>
      </c>
      <c r="O283" s="982" t="s">
        <v>3497</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0" t="s">
        <v>2386</v>
      </c>
      <c r="N284" s="776" t="s">
        <v>159</v>
      </c>
      <c r="O284" s="982" t="s">
        <v>3498</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0" t="s">
        <v>2386</v>
      </c>
      <c r="N285" s="776" t="s">
        <v>1652</v>
      </c>
      <c r="O285" s="982" t="s">
        <v>3499</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0" t="s">
        <v>1121</v>
      </c>
      <c r="N286" s="776" t="s">
        <v>1250</v>
      </c>
      <c r="O286" s="982" t="s">
        <v>3500</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0" t="s">
        <v>1121</v>
      </c>
      <c r="N287" s="776" t="s">
        <v>1130</v>
      </c>
      <c r="O287" s="982" t="s">
        <v>3501</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0" t="s">
        <v>2386</v>
      </c>
      <c r="N288" s="776" t="s">
        <v>154</v>
      </c>
      <c r="O288" s="982" t="s">
        <v>3502</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0" t="s">
        <v>2386</v>
      </c>
      <c r="N289" s="776" t="s">
        <v>1246</v>
      </c>
      <c r="O289" s="982" t="s">
        <v>3503</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1" t="s">
        <v>1501</v>
      </c>
      <c r="N290" s="773" t="s">
        <v>1501</v>
      </c>
      <c r="O290" s="982" t="s">
        <v>3504</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0" t="s">
        <v>2386</v>
      </c>
      <c r="N291" s="776" t="s">
        <v>1652</v>
      </c>
      <c r="O291" s="982" t="s">
        <v>3505</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0" t="s">
        <v>1121</v>
      </c>
      <c r="N292" s="776" t="s">
        <v>1130</v>
      </c>
      <c r="O292" s="982" t="s">
        <v>3506</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0" t="s">
        <v>2386</v>
      </c>
      <c r="N293" s="776" t="s">
        <v>159</v>
      </c>
      <c r="O293" s="982" t="s">
        <v>3507</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0" t="s">
        <v>2386</v>
      </c>
      <c r="N294" s="776" t="s">
        <v>154</v>
      </c>
      <c r="O294" s="982" t="s">
        <v>3508</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0" t="s">
        <v>2386</v>
      </c>
      <c r="N295" s="776" t="s">
        <v>1652</v>
      </c>
      <c r="O295" s="982" t="s">
        <v>3509</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0" t="s">
        <v>2386</v>
      </c>
      <c r="N296" s="776" t="s">
        <v>154</v>
      </c>
      <c r="O296" s="982" t="s">
        <v>3510</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0" t="s">
        <v>2386</v>
      </c>
      <c r="N297" s="776" t="s">
        <v>159</v>
      </c>
      <c r="O297" s="982" t="s">
        <v>3511</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0" t="s">
        <v>2386</v>
      </c>
      <c r="N298" s="776" t="s">
        <v>1246</v>
      </c>
      <c r="O298" s="982" t="s">
        <v>3512</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0" t="s">
        <v>2386</v>
      </c>
      <c r="N299" s="776" t="s">
        <v>154</v>
      </c>
      <c r="O299" s="982" t="s">
        <v>3513</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0" t="s">
        <v>2386</v>
      </c>
      <c r="N300" s="776" t="s">
        <v>1652</v>
      </c>
      <c r="O300" s="982" t="s">
        <v>3514</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0" t="s">
        <v>2386</v>
      </c>
      <c r="N301" s="776" t="s">
        <v>1652</v>
      </c>
      <c r="O301" s="982" t="s">
        <v>3515</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0" t="s">
        <v>2386</v>
      </c>
      <c r="N302" s="776" t="s">
        <v>1575</v>
      </c>
      <c r="O302" s="982" t="s">
        <v>3516</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0" t="s">
        <v>2386</v>
      </c>
      <c r="N303" s="776" t="s">
        <v>1652</v>
      </c>
      <c r="O303" s="982" t="s">
        <v>3517</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0" t="s">
        <v>2386</v>
      </c>
      <c r="N304" s="776" t="s">
        <v>1246</v>
      </c>
      <c r="O304" s="982" t="s">
        <v>3518</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0" t="s">
        <v>2386</v>
      </c>
      <c r="N305" s="776" t="s">
        <v>159</v>
      </c>
      <c r="O305" s="982" t="s">
        <v>3519</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0" t="s">
        <v>2386</v>
      </c>
      <c r="N306" s="776" t="s">
        <v>1240</v>
      </c>
      <c r="O306" s="982" t="s">
        <v>3520</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0" t="s">
        <v>2386</v>
      </c>
      <c r="N307" s="776" t="s">
        <v>1130</v>
      </c>
      <c r="O307" s="982" t="s">
        <v>3521</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0" t="s">
        <v>2386</v>
      </c>
      <c r="N308" s="776" t="s">
        <v>1652</v>
      </c>
      <c r="O308" s="982" t="s">
        <v>3522</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0" t="s">
        <v>2386</v>
      </c>
      <c r="N309" s="776" t="s">
        <v>1240</v>
      </c>
      <c r="O309" s="982" t="s">
        <v>3523</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0" t="s">
        <v>2386</v>
      </c>
      <c r="N310" s="776" t="s">
        <v>159</v>
      </c>
      <c r="O310" s="982" t="s">
        <v>3524</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0" t="s">
        <v>2386</v>
      </c>
      <c r="N311" s="776" t="s">
        <v>1130</v>
      </c>
      <c r="O311" s="982" t="s">
        <v>3525</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0" t="s">
        <v>2386</v>
      </c>
      <c r="N312" s="776" t="s">
        <v>1422</v>
      </c>
      <c r="O312" s="982" t="s">
        <v>3526</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0" t="s">
        <v>1121</v>
      </c>
      <c r="N313" s="776" t="s">
        <v>1130</v>
      </c>
      <c r="O313" s="982" t="s">
        <v>3527</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0" t="s">
        <v>2386</v>
      </c>
      <c r="N314" s="776" t="s">
        <v>1575</v>
      </c>
      <c r="O314" s="982" t="s">
        <v>3528</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0" t="s">
        <v>2386</v>
      </c>
      <c r="N315" s="776" t="s">
        <v>1250</v>
      </c>
      <c r="O315" s="982" t="s">
        <v>3529</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0" t="s">
        <v>2386</v>
      </c>
      <c r="N316" s="776" t="s">
        <v>1240</v>
      </c>
      <c r="O316" s="982" t="s">
        <v>3530</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0" t="s">
        <v>2386</v>
      </c>
      <c r="N317" s="776" t="s">
        <v>1246</v>
      </c>
      <c r="O317" s="982" t="s">
        <v>3531</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0" t="s">
        <v>2386</v>
      </c>
      <c r="N318" s="776" t="s">
        <v>154</v>
      </c>
      <c r="O318" s="982" t="s">
        <v>3532</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0" t="s">
        <v>2386</v>
      </c>
      <c r="N319" s="776" t="s">
        <v>1240</v>
      </c>
      <c r="O319" s="982" t="s">
        <v>3533</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0" t="s">
        <v>2386</v>
      </c>
      <c r="N320" s="776" t="s">
        <v>159</v>
      </c>
      <c r="O320" s="982" t="s">
        <v>3534</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0" t="s">
        <v>1121</v>
      </c>
      <c r="N321" s="776" t="s">
        <v>1422</v>
      </c>
      <c r="O321" s="982" t="s">
        <v>3535</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0" t="s">
        <v>2386</v>
      </c>
      <c r="N322" s="776" t="s">
        <v>1652</v>
      </c>
      <c r="O322" s="982" t="s">
        <v>3536</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0" t="s">
        <v>2386</v>
      </c>
      <c r="N323" s="776" t="s">
        <v>1250</v>
      </c>
      <c r="O323" s="982" t="s">
        <v>3537</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0" t="s">
        <v>2386</v>
      </c>
      <c r="N324" s="776" t="s">
        <v>1240</v>
      </c>
      <c r="O324" s="982" t="s">
        <v>3538</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0" t="s">
        <v>2386</v>
      </c>
      <c r="N325" s="776" t="s">
        <v>1652</v>
      </c>
      <c r="O325" s="982" t="s">
        <v>3539</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3658</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3992</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3259</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3659</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3660</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view="pageBreakPreview" topLeftCell="A2" zoomScale="60" zoomScaleNormal="100" workbookViewId="0">
      <selection activeCell="O29" sqref="O29:P29"/>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2" bestFit="1" customWidth="1"/>
    <col min="26" max="26" width="9.28515625" style="1652"/>
    <col min="27" max="51" width="9.28515625" style="142"/>
    <col min="52" max="52" width="9.28515625" style="1586"/>
    <col min="53" max="16384" width="9.28515625" style="142"/>
  </cols>
  <sheetData>
    <row r="1" spans="1:52" s="1652" customFormat="1" ht="12" hidden="1" customHeight="1">
      <c r="A1" s="1650"/>
      <c r="B1" s="1650" t="s">
        <v>4205</v>
      </c>
      <c r="C1" s="1650"/>
      <c r="D1" s="1650"/>
      <c r="E1" s="1650" t="s">
        <v>4224</v>
      </c>
      <c r="F1" s="1650"/>
      <c r="G1" s="1651"/>
      <c r="H1" s="1651" t="s">
        <v>4225</v>
      </c>
      <c r="I1" s="1651" t="s">
        <v>4226</v>
      </c>
      <c r="J1" s="1651"/>
      <c r="K1" s="1651" t="s">
        <v>4227</v>
      </c>
      <c r="L1" s="1651" t="s">
        <v>4228</v>
      </c>
      <c r="M1" s="1652" t="s">
        <v>4229</v>
      </c>
      <c r="N1" s="1652" t="s">
        <v>4230</v>
      </c>
      <c r="P1" s="1652" t="s">
        <v>4231</v>
      </c>
      <c r="Y1" s="2472"/>
      <c r="Z1" s="1617">
        <v>1</v>
      </c>
    </row>
    <row r="2" spans="1:52" s="223" customFormat="1" ht="14.1" customHeight="1">
      <c r="A2" s="3064" t="str">
        <f>CONCATENATE("PART TWO - SOURCES OF FUNDS (Proposed)","  -  ",'Part I-Project Identification'!$O$7," ",'Part I-Project Identification'!$F$26,", ",'Part I-Project Identification'!$F$27,", ",'Part I-Project Identification'!$J$27," County")</f>
        <v>PART TWO - SOURCES OF FUNDS (Proposed)  -  2024-0 Redland Trace, Lawrenceville, Gwinnett County</v>
      </c>
      <c r="B2" s="3065"/>
      <c r="C2" s="3065"/>
      <c r="D2" s="3065"/>
      <c r="E2" s="3065"/>
      <c r="F2" s="3065"/>
      <c r="G2" s="3065"/>
      <c r="H2" s="3065"/>
      <c r="I2" s="3065"/>
      <c r="J2" s="3065"/>
      <c r="K2" s="3065"/>
      <c r="L2" s="3065"/>
      <c r="M2" s="3065"/>
      <c r="N2" s="3065"/>
      <c r="O2" s="3065"/>
      <c r="P2" s="3065"/>
      <c r="Q2" s="3066"/>
      <c r="S2" s="3097" t="str">
        <f>$A$2</f>
        <v>PART TWO - SOURCES OF FUNDS (Proposed)  -  2024-0 Redland Trace, Lawrenceville, Gwinnett County</v>
      </c>
      <c r="T2" s="3097"/>
      <c r="Y2" s="2473"/>
      <c r="Z2" s="1617">
        <v>2</v>
      </c>
      <c r="AZ2" s="1587"/>
    </row>
    <row r="3" spans="1:52" ht="17.649999999999999" customHeight="1">
      <c r="A3" s="145"/>
      <c r="B3" s="145"/>
      <c r="C3" s="145"/>
      <c r="D3" s="145"/>
      <c r="E3" s="145"/>
      <c r="F3" s="145"/>
      <c r="G3" s="984"/>
      <c r="H3" s="984"/>
      <c r="I3" s="984"/>
      <c r="J3" s="984"/>
      <c r="K3" s="984"/>
      <c r="L3" s="984"/>
      <c r="Y3" s="2473"/>
      <c r="Z3" s="1617">
        <v>3</v>
      </c>
      <c r="AZ3" s="1587"/>
    </row>
    <row r="4" spans="1:52" s="223" customFormat="1" ht="13.35" customHeight="1">
      <c r="A4" s="243" t="s">
        <v>572</v>
      </c>
      <c r="B4" s="243" t="s">
        <v>2288</v>
      </c>
      <c r="C4" s="144"/>
      <c r="D4" s="144"/>
      <c r="E4" s="144"/>
      <c r="F4" s="144"/>
      <c r="G4" s="144"/>
      <c r="L4" s="3098" t="str">
        <f>'Part I-Project Identification'!$A$6</f>
        <v>2024 May 7</v>
      </c>
      <c r="M4" s="3099"/>
      <c r="N4" s="3099"/>
      <c r="O4" s="3099"/>
      <c r="P4" s="3100"/>
      <c r="S4" s="258" t="str">
        <f>B4</f>
        <v>GOVERNMENT FUNDING SOURCES  (check all that apply)</v>
      </c>
      <c r="Y4" s="2473"/>
      <c r="Z4" s="1617">
        <v>4</v>
      </c>
      <c r="AZ4" s="1587"/>
    </row>
    <row r="5" spans="1:52" s="223" customFormat="1" ht="15.75" customHeight="1">
      <c r="A5" s="253"/>
      <c r="B5" s="374"/>
      <c r="C5" s="253"/>
      <c r="D5" s="144"/>
      <c r="E5" s="144"/>
      <c r="F5" s="144"/>
      <c r="G5" s="144"/>
      <c r="S5" s="3101" t="s">
        <v>2441</v>
      </c>
      <c r="T5" s="3101"/>
      <c r="Y5" s="2473"/>
      <c r="Z5" s="1617">
        <v>5</v>
      </c>
      <c r="AZ5" s="1587"/>
    </row>
    <row r="6" spans="1:52" s="223" customFormat="1" ht="16.5" customHeight="1">
      <c r="A6" s="374"/>
      <c r="B6" s="1173" t="s">
        <v>2641</v>
      </c>
      <c r="C6" s="224" t="s">
        <v>2213</v>
      </c>
      <c r="D6" s="144"/>
      <c r="E6" s="1173"/>
      <c r="F6" s="224" t="s">
        <v>3982</v>
      </c>
      <c r="G6" s="144"/>
      <c r="I6" s="3102"/>
      <c r="J6" s="3103"/>
      <c r="L6" s="1173"/>
      <c r="M6" s="224" t="s">
        <v>1435</v>
      </c>
      <c r="Q6" s="1531"/>
      <c r="S6" s="3082"/>
      <c r="T6" s="3083"/>
      <c r="Y6" s="2473"/>
      <c r="Z6" s="1617">
        <v>6</v>
      </c>
      <c r="AZ6" s="1587"/>
    </row>
    <row r="7" spans="1:52" s="223" customFormat="1" ht="16.5" customHeight="1">
      <c r="A7" s="374"/>
      <c r="B7" s="810"/>
      <c r="C7" s="224" t="s">
        <v>3754</v>
      </c>
      <c r="D7" s="144"/>
      <c r="E7" s="805"/>
      <c r="F7" s="224" t="s">
        <v>3983</v>
      </c>
      <c r="I7" s="3104"/>
      <c r="J7" s="3105"/>
      <c r="L7" s="810"/>
      <c r="M7" s="224" t="s">
        <v>513</v>
      </c>
      <c r="P7" s="1531"/>
      <c r="Q7" s="1531"/>
      <c r="S7" s="3084"/>
      <c r="T7" s="3085"/>
      <c r="Y7" s="2473"/>
      <c r="Z7" s="1617">
        <v>7</v>
      </c>
      <c r="AZ7" s="1587"/>
    </row>
    <row r="8" spans="1:52" s="223" customFormat="1" ht="16.5" customHeight="1">
      <c r="A8" s="144"/>
      <c r="B8" s="810"/>
      <c r="C8" s="224" t="s">
        <v>4556</v>
      </c>
      <c r="F8" s="223" t="s">
        <v>4558</v>
      </c>
      <c r="H8" s="3106" t="s">
        <v>2981</v>
      </c>
      <c r="I8" s="3107"/>
      <c r="J8" s="3108"/>
      <c r="L8" s="810"/>
      <c r="M8" s="224" t="s">
        <v>4560</v>
      </c>
      <c r="P8" s="1531"/>
      <c r="Q8" s="1531"/>
      <c r="S8" s="3084"/>
      <c r="T8" s="3085"/>
      <c r="Y8" s="2473"/>
      <c r="Z8" s="1617">
        <v>8</v>
      </c>
      <c r="AZ8" s="1587"/>
    </row>
    <row r="9" spans="1:52" s="223" customFormat="1" ht="16.5" customHeight="1">
      <c r="A9" s="374"/>
      <c r="B9" s="810"/>
      <c r="C9" s="223" t="s">
        <v>3218</v>
      </c>
      <c r="E9" s="1176"/>
      <c r="F9" s="3109" t="s">
        <v>4555</v>
      </c>
      <c r="G9" s="3110"/>
      <c r="H9" s="3088"/>
      <c r="I9" s="3088"/>
      <c r="J9" s="3089"/>
      <c r="L9" s="810"/>
      <c r="M9" s="224" t="s">
        <v>3755</v>
      </c>
      <c r="Q9" s="1531"/>
      <c r="S9" s="3086"/>
      <c r="T9" s="3087"/>
      <c r="Y9" s="2473"/>
      <c r="Z9" s="1617">
        <v>9</v>
      </c>
      <c r="AZ9" s="1587"/>
    </row>
    <row r="10" spans="1:52" s="223" customFormat="1" ht="16.5" customHeight="1">
      <c r="A10" s="374"/>
      <c r="B10" s="810"/>
      <c r="C10" s="224" t="s">
        <v>2388</v>
      </c>
      <c r="F10" s="3079" t="s">
        <v>3651</v>
      </c>
      <c r="G10" s="3080"/>
      <c r="H10" s="3080"/>
      <c r="I10" s="3080"/>
      <c r="J10" s="3081"/>
      <c r="L10" s="810"/>
      <c r="M10" s="224" t="s">
        <v>3108</v>
      </c>
      <c r="P10" s="1531"/>
      <c r="Q10" s="1531"/>
      <c r="S10" s="3082"/>
      <c r="T10" s="3083"/>
      <c r="Y10" s="2473"/>
      <c r="Z10" s="1617">
        <v>10</v>
      </c>
      <c r="AZ10" s="1587"/>
    </row>
    <row r="11" spans="1:52" s="223" customFormat="1" ht="16.5" customHeight="1">
      <c r="A11" s="374"/>
      <c r="B11" s="810"/>
      <c r="C11" s="224" t="s">
        <v>2389</v>
      </c>
      <c r="E11" s="1176" t="s">
        <v>2641</v>
      </c>
      <c r="F11" s="3088" t="s">
        <v>5181</v>
      </c>
      <c r="G11" s="3088"/>
      <c r="H11" s="3088"/>
      <c r="I11" s="3088"/>
      <c r="J11" s="3089"/>
      <c r="L11" s="810"/>
      <c r="M11" s="223" t="s">
        <v>2392</v>
      </c>
      <c r="S11" s="3084"/>
      <c r="T11" s="3085"/>
      <c r="Y11" s="2473"/>
      <c r="Z11" s="1617">
        <v>11</v>
      </c>
      <c r="AZ11" s="1587"/>
    </row>
    <row r="12" spans="1:52" s="223" customFormat="1" ht="16.5" customHeight="1">
      <c r="A12" s="374"/>
      <c r="B12" s="810"/>
      <c r="C12" s="224" t="s">
        <v>3109</v>
      </c>
      <c r="F12" s="3090" t="s">
        <v>5182</v>
      </c>
      <c r="G12" s="3091"/>
      <c r="H12" s="3092"/>
      <c r="I12" s="3092"/>
      <c r="J12" s="3093"/>
      <c r="L12" s="810"/>
      <c r="M12" s="223" t="s">
        <v>3135</v>
      </c>
      <c r="S12" s="3084"/>
      <c r="T12" s="3085"/>
      <c r="Y12" s="2473"/>
      <c r="Z12" s="1617">
        <v>12</v>
      </c>
      <c r="AZ12" s="1587"/>
    </row>
    <row r="13" spans="1:52" s="223" customFormat="1" ht="16.5" customHeight="1">
      <c r="A13" s="374"/>
      <c r="B13" s="810"/>
      <c r="C13" s="224" t="s">
        <v>4557</v>
      </c>
      <c r="E13" s="1173"/>
      <c r="F13" s="224" t="s">
        <v>4559</v>
      </c>
      <c r="H13" s="3090" t="s">
        <v>3209</v>
      </c>
      <c r="I13" s="3091"/>
      <c r="J13" s="3094"/>
      <c r="L13" s="810"/>
      <c r="M13" s="223" t="s">
        <v>3981</v>
      </c>
      <c r="S13" s="3084"/>
      <c r="T13" s="3085"/>
      <c r="Y13" s="2473"/>
      <c r="Z13" s="1617">
        <v>13</v>
      </c>
      <c r="AZ13" s="1587"/>
    </row>
    <row r="14" spans="1:52" s="223" customFormat="1" ht="16.5" customHeight="1">
      <c r="A14" s="374"/>
      <c r="B14" s="810"/>
      <c r="C14" s="223" t="s">
        <v>2391</v>
      </c>
      <c r="E14" s="810"/>
      <c r="F14" s="224" t="s">
        <v>3217</v>
      </c>
      <c r="L14" s="810"/>
      <c r="M14" s="223" t="s">
        <v>4605</v>
      </c>
      <c r="S14" s="3086"/>
      <c r="T14" s="3087"/>
      <c r="Y14" s="2473"/>
      <c r="Z14" s="1617">
        <v>14</v>
      </c>
      <c r="AZ14" s="1587"/>
    </row>
    <row r="15" spans="1:52" s="223" customFormat="1" ht="16.5" customHeight="1">
      <c r="A15" s="374"/>
      <c r="B15" s="810"/>
      <c r="C15" s="223" t="s">
        <v>3134</v>
      </c>
      <c r="E15" s="810"/>
      <c r="F15" s="224" t="s">
        <v>3984</v>
      </c>
      <c r="L15" s="810"/>
      <c r="M15" s="1532" t="s">
        <v>3985</v>
      </c>
      <c r="Y15" s="2473"/>
      <c r="Z15" s="1617">
        <v>15</v>
      </c>
      <c r="AZ15" s="1587"/>
    </row>
    <row r="16" spans="1:52" s="223" customFormat="1" ht="16.5" customHeight="1">
      <c r="A16" s="374"/>
      <c r="B16" s="805"/>
      <c r="C16" s="224" t="s">
        <v>1668</v>
      </c>
      <c r="E16" s="805"/>
      <c r="F16" s="224" t="s">
        <v>4398</v>
      </c>
      <c r="I16" s="3095"/>
      <c r="J16" s="3096"/>
      <c r="L16" s="805"/>
      <c r="M16" s="1532" t="s">
        <v>3980</v>
      </c>
      <c r="Y16" s="2473"/>
      <c r="Z16" s="1617">
        <v>16</v>
      </c>
      <c r="AZ16" s="1587"/>
    </row>
    <row r="17" spans="1:52" s="223" customFormat="1" ht="17.100000000000001" customHeight="1">
      <c r="A17" s="374"/>
      <c r="B17" s="223" t="s">
        <v>3756</v>
      </c>
      <c r="C17" s="144"/>
      <c r="D17" s="144"/>
      <c r="E17" s="144"/>
      <c r="F17" s="144"/>
      <c r="G17" s="144"/>
      <c r="H17" s="144"/>
      <c r="I17" s="144"/>
      <c r="J17" s="144"/>
      <c r="K17" s="144"/>
      <c r="L17" s="144"/>
      <c r="M17" s="142"/>
      <c r="N17" s="144"/>
      <c r="O17" s="144"/>
      <c r="P17" s="144"/>
      <c r="Q17" s="144"/>
      <c r="Y17" s="2473"/>
      <c r="Z17" s="1617">
        <v>17</v>
      </c>
      <c r="AZ17" s="1587"/>
    </row>
    <row r="18" spans="1:52" s="223" customFormat="1" ht="12" customHeight="1">
      <c r="A18" s="374"/>
      <c r="L18" s="144"/>
      <c r="M18" s="145"/>
      <c r="N18" s="144"/>
      <c r="O18" s="144"/>
      <c r="P18" s="144"/>
      <c r="Q18" s="144"/>
      <c r="Y18" s="2474"/>
      <c r="Z18" s="1617">
        <v>18</v>
      </c>
      <c r="AZ18" s="1588"/>
    </row>
    <row r="19" spans="1:52" s="258" customFormat="1" ht="15" customHeight="1">
      <c r="A19" s="243" t="s">
        <v>688</v>
      </c>
      <c r="B19" s="222" t="s">
        <v>2159</v>
      </c>
      <c r="C19" s="144"/>
      <c r="D19" s="144"/>
      <c r="E19" s="144"/>
      <c r="F19" s="144"/>
      <c r="G19" s="144"/>
      <c r="L19" s="144"/>
      <c r="M19" s="144"/>
      <c r="N19" s="3120"/>
      <c r="O19" s="3120"/>
      <c r="P19" s="144"/>
      <c r="Q19" s="144"/>
      <c r="S19" s="258" t="str">
        <f>B19</f>
        <v>CONSTRUCTION FINANCING</v>
      </c>
      <c r="Y19" s="2474"/>
      <c r="Z19" s="1617">
        <v>19</v>
      </c>
      <c r="AZ19" s="1588"/>
    </row>
    <row r="20" spans="1:52" s="258" customFormat="1" ht="5.25" customHeight="1">
      <c r="A20" s="243"/>
      <c r="B20" s="222"/>
      <c r="C20" s="144"/>
      <c r="K20" s="144"/>
      <c r="L20" s="144"/>
      <c r="M20" s="144"/>
      <c r="N20" s="248"/>
      <c r="O20" s="248"/>
      <c r="P20" s="144"/>
      <c r="Q20" s="144"/>
      <c r="Y20" s="2474"/>
      <c r="Z20" s="1617">
        <v>20</v>
      </c>
      <c r="AZ20" s="1587"/>
    </row>
    <row r="21" spans="1:52" s="223" customFormat="1" ht="17.100000000000001" customHeight="1">
      <c r="A21" s="144"/>
      <c r="B21" s="246" t="s">
        <v>1729</v>
      </c>
      <c r="C21" s="144"/>
      <c r="D21" s="144"/>
      <c r="E21" s="144"/>
      <c r="F21" s="144"/>
      <c r="G21" s="144"/>
      <c r="H21" s="3121" t="s">
        <v>1218</v>
      </c>
      <c r="I21" s="3121"/>
      <c r="J21" s="3121"/>
      <c r="K21" s="3121"/>
      <c r="L21" s="3122" t="s">
        <v>3722</v>
      </c>
      <c r="M21" s="3122"/>
      <c r="N21" s="3122" t="s">
        <v>1408</v>
      </c>
      <c r="O21" s="3122"/>
      <c r="P21" s="3122" t="s">
        <v>1521</v>
      </c>
      <c r="Q21" s="3122"/>
      <c r="S21" s="3101" t="s">
        <v>2441</v>
      </c>
      <c r="T21" s="3101"/>
      <c r="Y21" s="2473"/>
      <c r="Z21" s="1617">
        <v>21</v>
      </c>
      <c r="AZ21" s="1587" t="s">
        <v>4239</v>
      </c>
    </row>
    <row r="22" spans="1:52" s="223" customFormat="1" ht="15.75" customHeight="1">
      <c r="A22" s="144"/>
      <c r="B22" s="3136" t="s">
        <v>1484</v>
      </c>
      <c r="C22" s="3137"/>
      <c r="D22" s="3137"/>
      <c r="E22" s="808"/>
      <c r="F22" s="808"/>
      <c r="G22" s="808"/>
      <c r="H22" s="3138" t="s">
        <v>5142</v>
      </c>
      <c r="I22" s="3139"/>
      <c r="J22" s="3139"/>
      <c r="K22" s="3140"/>
      <c r="L22" s="3141">
        <v>20000000</v>
      </c>
      <c r="M22" s="3142"/>
      <c r="N22" s="3143">
        <v>8.0799999999999997E-2</v>
      </c>
      <c r="O22" s="3144"/>
      <c r="P22" s="3145">
        <v>28</v>
      </c>
      <c r="Q22" s="3146"/>
      <c r="S22" s="3082"/>
      <c r="T22" s="3083"/>
      <c r="Y22" s="2473" t="s">
        <v>4239</v>
      </c>
      <c r="Z22" s="1617">
        <v>22</v>
      </c>
      <c r="AZ22" s="1587" t="s">
        <v>4240</v>
      </c>
    </row>
    <row r="23" spans="1:52" s="223" customFormat="1" ht="15.75" customHeight="1">
      <c r="A23" s="144"/>
      <c r="B23" s="3111" t="s">
        <v>1485</v>
      </c>
      <c r="C23" s="3112"/>
      <c r="D23" s="3112"/>
      <c r="E23" s="144"/>
      <c r="F23" s="144"/>
      <c r="G23" s="144"/>
      <c r="H23" s="3113" t="s">
        <v>5156</v>
      </c>
      <c r="I23" s="3114"/>
      <c r="J23" s="3114"/>
      <c r="K23" s="3115"/>
      <c r="L23" s="3116">
        <v>1594810</v>
      </c>
      <c r="M23" s="3117"/>
      <c r="N23" s="3118">
        <v>1.4999999999999999E-2</v>
      </c>
      <c r="O23" s="3119"/>
      <c r="P23" s="3123">
        <v>36</v>
      </c>
      <c r="Q23" s="3124"/>
      <c r="S23" s="3084"/>
      <c r="T23" s="3085"/>
      <c r="Y23" s="2473" t="s">
        <v>4240</v>
      </c>
      <c r="Z23" s="1617">
        <v>23</v>
      </c>
      <c r="AZ23" s="1587" t="s">
        <v>4241</v>
      </c>
    </row>
    <row r="24" spans="1:52" s="223" customFormat="1" ht="15.75" customHeight="1">
      <c r="A24" s="144"/>
      <c r="B24" s="3125" t="s">
        <v>1486</v>
      </c>
      <c r="C24" s="3126"/>
      <c r="D24" s="3126"/>
      <c r="E24" s="813"/>
      <c r="F24" s="813"/>
      <c r="G24" s="813"/>
      <c r="H24" s="3127"/>
      <c r="I24" s="3128"/>
      <c r="J24" s="3128"/>
      <c r="K24" s="3129"/>
      <c r="L24" s="3130"/>
      <c r="M24" s="3131"/>
      <c r="N24" s="3132"/>
      <c r="O24" s="3133"/>
      <c r="P24" s="3134"/>
      <c r="Q24" s="3135"/>
      <c r="S24" s="3084"/>
      <c r="T24" s="3085"/>
      <c r="Y24" s="2473" t="s">
        <v>4241</v>
      </c>
      <c r="Z24" s="1617">
        <v>24</v>
      </c>
      <c r="AZ24" s="1587" t="s">
        <v>4242</v>
      </c>
    </row>
    <row r="25" spans="1:52" s="223" customFormat="1" ht="15.75" customHeight="1">
      <c r="A25" s="144"/>
      <c r="B25" s="3136" t="s">
        <v>2042</v>
      </c>
      <c r="C25" s="3137"/>
      <c r="D25" s="3137"/>
      <c r="E25" s="144"/>
      <c r="F25" s="144"/>
      <c r="G25" s="144"/>
      <c r="H25" s="3149"/>
      <c r="I25" s="3150"/>
      <c r="J25" s="3150"/>
      <c r="K25" s="3151"/>
      <c r="L25" s="3152"/>
      <c r="M25" s="3153"/>
      <c r="N25" s="3147"/>
      <c r="O25" s="3148"/>
      <c r="P25" s="3120"/>
      <c r="Q25" s="3120"/>
      <c r="S25" s="3084"/>
      <c r="T25" s="3085"/>
      <c r="Y25" s="2473" t="s">
        <v>4242</v>
      </c>
      <c r="Z25" s="1617">
        <v>25</v>
      </c>
      <c r="AZ25" s="1587" t="s">
        <v>4243</v>
      </c>
    </row>
    <row r="26" spans="1:52" s="223" customFormat="1" ht="15.75" customHeight="1">
      <c r="A26" s="144"/>
      <c r="B26" s="3111" t="s">
        <v>744</v>
      </c>
      <c r="C26" s="3112"/>
      <c r="D26" s="3112"/>
      <c r="E26" s="144"/>
      <c r="H26" s="3113"/>
      <c r="I26" s="3114"/>
      <c r="J26" s="3114"/>
      <c r="K26" s="3115"/>
      <c r="L26" s="3116"/>
      <c r="M26" s="3117"/>
      <c r="N26" s="3147"/>
      <c r="O26" s="3148"/>
      <c r="P26" s="3120"/>
      <c r="Q26" s="3120"/>
      <c r="S26" s="3084"/>
      <c r="T26" s="3085"/>
      <c r="Y26" s="2473" t="s">
        <v>4243</v>
      </c>
      <c r="Z26" s="1617">
        <v>26</v>
      </c>
      <c r="AZ26" s="1587" t="s">
        <v>4244</v>
      </c>
    </row>
    <row r="27" spans="1:52" s="223" customFormat="1" ht="15.75" customHeight="1">
      <c r="A27" s="144"/>
      <c r="B27" s="3111" t="s">
        <v>594</v>
      </c>
      <c r="C27" s="3112"/>
      <c r="D27" s="3112"/>
      <c r="E27" s="144"/>
      <c r="H27" s="3113"/>
      <c r="I27" s="3114"/>
      <c r="J27" s="3114"/>
      <c r="K27" s="3115"/>
      <c r="L27" s="3116"/>
      <c r="M27" s="3117"/>
      <c r="N27" s="3147"/>
      <c r="O27" s="3148"/>
      <c r="P27" s="3120"/>
      <c r="Q27" s="3120"/>
      <c r="S27" s="3084"/>
      <c r="T27" s="3085"/>
      <c r="Y27" s="2473" t="s">
        <v>4244</v>
      </c>
      <c r="Z27" s="1617">
        <v>27</v>
      </c>
      <c r="AZ27" s="1587" t="s">
        <v>4245</v>
      </c>
    </row>
    <row r="28" spans="1:52" s="223" customFormat="1" ht="15.75" customHeight="1">
      <c r="A28" s="144"/>
      <c r="B28" s="3111" t="s">
        <v>745</v>
      </c>
      <c r="C28" s="3112"/>
      <c r="D28" s="3112"/>
      <c r="E28" s="144"/>
      <c r="H28" s="3113" t="s">
        <v>5142</v>
      </c>
      <c r="I28" s="3114"/>
      <c r="J28" s="3114"/>
      <c r="K28" s="3115"/>
      <c r="L28" s="3116">
        <v>1844184</v>
      </c>
      <c r="M28" s="3117"/>
      <c r="N28" s="144"/>
      <c r="Q28" s="144"/>
      <c r="S28" s="3086"/>
      <c r="T28" s="3087"/>
      <c r="Y28" s="2473" t="s">
        <v>4245</v>
      </c>
      <c r="Z28" s="1617">
        <v>28</v>
      </c>
      <c r="AZ28" s="1587" t="s">
        <v>4246</v>
      </c>
    </row>
    <row r="29" spans="1:52" s="223" customFormat="1" ht="15.75" customHeight="1">
      <c r="A29" s="144"/>
      <c r="B29" s="3111" t="s">
        <v>746</v>
      </c>
      <c r="C29" s="3112"/>
      <c r="D29" s="3112"/>
      <c r="E29" s="144"/>
      <c r="H29" s="3113" t="s">
        <v>5142</v>
      </c>
      <c r="I29" s="3114"/>
      <c r="J29" s="3114"/>
      <c r="K29" s="3115"/>
      <c r="L29" s="3116">
        <v>1152630</v>
      </c>
      <c r="M29" s="3117"/>
      <c r="N29" s="144"/>
      <c r="Q29" s="144"/>
      <c r="S29" s="3082"/>
      <c r="T29" s="3083"/>
      <c r="Y29" s="2473" t="s">
        <v>4246</v>
      </c>
      <c r="Z29" s="1617">
        <v>29</v>
      </c>
      <c r="AZ29" s="1587" t="s">
        <v>4247</v>
      </c>
    </row>
    <row r="30" spans="1:52" s="223" customFormat="1" ht="15.75" customHeight="1">
      <c r="A30" s="144"/>
      <c r="B30" s="807" t="s">
        <v>232</v>
      </c>
      <c r="C30" s="144"/>
      <c r="D30" s="3154"/>
      <c r="E30" s="3154"/>
      <c r="F30" s="3154"/>
      <c r="G30" s="3154"/>
      <c r="H30" s="3113"/>
      <c r="I30" s="3114"/>
      <c r="J30" s="3114"/>
      <c r="K30" s="3115"/>
      <c r="L30" s="3116"/>
      <c r="M30" s="3117"/>
      <c r="N30" s="144"/>
      <c r="Q30" s="144"/>
      <c r="S30" s="3084"/>
      <c r="T30" s="3085"/>
      <c r="Y30" s="2473" t="s">
        <v>4247</v>
      </c>
      <c r="Z30" s="1617">
        <v>30</v>
      </c>
      <c r="AZ30" s="1587" t="s">
        <v>4248</v>
      </c>
    </row>
    <row r="31" spans="1:52" s="223" customFormat="1" ht="15.75" customHeight="1">
      <c r="A31" s="144"/>
      <c r="B31" s="807" t="s">
        <v>232</v>
      </c>
      <c r="C31" s="144"/>
      <c r="D31" s="3155"/>
      <c r="E31" s="3155"/>
      <c r="F31" s="3155"/>
      <c r="G31" s="3155"/>
      <c r="H31" s="3113"/>
      <c r="I31" s="3114"/>
      <c r="J31" s="3114"/>
      <c r="K31" s="3115"/>
      <c r="L31" s="3116"/>
      <c r="M31" s="3117"/>
      <c r="N31" s="144"/>
      <c r="S31" s="3084"/>
      <c r="T31" s="3085"/>
      <c r="Y31" s="2473" t="s">
        <v>4248</v>
      </c>
      <c r="Z31" s="1617">
        <v>31</v>
      </c>
      <c r="AZ31" s="1587" t="s">
        <v>4249</v>
      </c>
    </row>
    <row r="32" spans="1:52" s="223" customFormat="1" ht="15.75" customHeight="1">
      <c r="A32" s="144"/>
      <c r="B32" s="812" t="s">
        <v>232</v>
      </c>
      <c r="C32" s="813"/>
      <c r="D32" s="3159"/>
      <c r="E32" s="3159"/>
      <c r="F32" s="3159"/>
      <c r="G32" s="3159"/>
      <c r="H32" s="3127"/>
      <c r="I32" s="3128"/>
      <c r="J32" s="3128"/>
      <c r="K32" s="3129"/>
      <c r="L32" s="3130"/>
      <c r="M32" s="3131"/>
      <c r="N32" s="144"/>
      <c r="S32" s="3084"/>
      <c r="T32" s="3085"/>
      <c r="Y32" s="2473" t="s">
        <v>4249</v>
      </c>
      <c r="Z32" s="1617">
        <v>32</v>
      </c>
      <c r="AZ32" s="1587"/>
    </row>
    <row r="33" spans="1:52" s="223" customFormat="1" ht="16.5" customHeight="1">
      <c r="A33" s="144"/>
      <c r="B33" s="222" t="s">
        <v>1219</v>
      </c>
      <c r="C33" s="144"/>
      <c r="D33" s="144"/>
      <c r="E33" s="144"/>
      <c r="F33" s="144"/>
      <c r="G33" s="144"/>
      <c r="H33" s="144"/>
      <c r="I33" s="144"/>
      <c r="L33" s="3160">
        <f>SUM(L22:L32)</f>
        <v>24591624</v>
      </c>
      <c r="M33" s="3161"/>
      <c r="N33" s="145"/>
      <c r="S33" s="3084"/>
      <c r="T33" s="3085"/>
      <c r="Y33" s="2473"/>
      <c r="Z33" s="1617">
        <v>33</v>
      </c>
      <c r="AZ33" s="1587"/>
    </row>
    <row r="34" spans="1:52" s="223" customFormat="1" ht="16.5" customHeight="1">
      <c r="A34" s="144"/>
      <c r="B34" s="246" t="s">
        <v>1220</v>
      </c>
      <c r="C34" s="144"/>
      <c r="D34" s="144"/>
      <c r="E34" s="144"/>
      <c r="F34" s="144"/>
      <c r="G34" s="144"/>
      <c r="H34" s="144"/>
      <c r="I34" s="144"/>
      <c r="L34" s="3162">
        <f>'Part III-A-Uses of Funds'!$G$146-'Part III-A-Uses of Funds'!$G$103-'Part III-A-Uses of Funds'!$G$109-'Part III-A-Uses of Funds'!$G$130-'Part III-A-Uses of Funds'!$G$131-'Part III-A-Uses of Funds'!$G$132-'Part III-A-Uses of Funds'!$G$127+'Part III-A-Uses of Funds'!$F$123</f>
        <v>24564640</v>
      </c>
      <c r="M34" s="3163"/>
      <c r="N34" s="645"/>
      <c r="S34" s="3084"/>
      <c r="T34" s="3085"/>
      <c r="Y34" s="2473"/>
      <c r="Z34" s="1617">
        <v>34</v>
      </c>
      <c r="AZ34" s="1587"/>
    </row>
    <row r="35" spans="1:52" s="223" customFormat="1" ht="16.5" customHeight="1">
      <c r="A35" s="144"/>
      <c r="B35" s="246" t="s">
        <v>1997</v>
      </c>
      <c r="C35" s="144"/>
      <c r="D35" s="144"/>
      <c r="E35" s="144"/>
      <c r="F35" s="144"/>
      <c r="G35" s="144"/>
      <c r="H35" s="144"/>
      <c r="I35" s="144"/>
      <c r="L35" s="3164">
        <f>L33-L34</f>
        <v>26984</v>
      </c>
      <c r="M35" s="3165"/>
      <c r="N35" s="645"/>
      <c r="S35" s="3086"/>
      <c r="T35" s="3087"/>
      <c r="Y35" s="2473"/>
      <c r="Z35" s="1617">
        <v>35</v>
      </c>
      <c r="AZ35" s="1586"/>
    </row>
    <row r="36" spans="1:52" ht="9.6" customHeight="1">
      <c r="A36" s="253"/>
      <c r="B36" s="222"/>
      <c r="C36" s="145"/>
      <c r="D36" s="145"/>
      <c r="E36" s="145"/>
      <c r="F36" s="145"/>
      <c r="G36" s="145"/>
      <c r="H36" s="145"/>
      <c r="I36" s="145"/>
      <c r="J36" s="145"/>
      <c r="K36" s="145"/>
      <c r="L36" s="145"/>
      <c r="M36" s="248"/>
      <c r="N36" s="248"/>
      <c r="Z36" s="1617">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7">
        <v>37</v>
      </c>
      <c r="AZ37" s="1587"/>
    </row>
    <row r="38" spans="1:52" s="223" customFormat="1" ht="13.35" customHeight="1">
      <c r="A38" s="144"/>
      <c r="B38" s="144"/>
      <c r="C38" s="144"/>
      <c r="D38" s="144"/>
      <c r="E38" s="144"/>
      <c r="F38" s="248"/>
      <c r="G38" s="248"/>
      <c r="H38" s="3120"/>
      <c r="I38" s="3120"/>
      <c r="K38" s="252" t="s">
        <v>1943</v>
      </c>
      <c r="L38" s="248" t="s">
        <v>1216</v>
      </c>
      <c r="M38" s="248" t="s">
        <v>1221</v>
      </c>
      <c r="P38" s="3156" t="s">
        <v>31</v>
      </c>
      <c r="Q38" s="3156"/>
      <c r="S38" s="258"/>
      <c r="Y38" s="2473"/>
      <c r="Z38" s="1617">
        <v>38</v>
      </c>
      <c r="AZ38" s="1587"/>
    </row>
    <row r="39" spans="1:52" s="223" customFormat="1" ht="13.35" customHeight="1">
      <c r="A39" s="144"/>
      <c r="B39" s="814" t="s">
        <v>1729</v>
      </c>
      <c r="C39" s="813"/>
      <c r="D39" s="813"/>
      <c r="E39" s="3158" t="s">
        <v>1218</v>
      </c>
      <c r="F39" s="3158"/>
      <c r="G39" s="3158"/>
      <c r="H39" s="3158"/>
      <c r="I39" s="3122" t="s">
        <v>3721</v>
      </c>
      <c r="J39" s="3122"/>
      <c r="K39" s="445" t="s">
        <v>1670</v>
      </c>
      <c r="L39" s="445" t="s">
        <v>2041</v>
      </c>
      <c r="M39" s="445" t="s">
        <v>2041</v>
      </c>
      <c r="N39" s="3122" t="s">
        <v>69</v>
      </c>
      <c r="O39" s="3122"/>
      <c r="P39" s="3157"/>
      <c r="Q39" s="3157"/>
      <c r="S39" s="3101" t="s">
        <v>2441</v>
      </c>
      <c r="T39" s="3101"/>
      <c r="Y39" s="2473"/>
      <c r="Z39" s="1617">
        <v>39</v>
      </c>
      <c r="AZ39" s="1587" t="s">
        <v>4250</v>
      </c>
    </row>
    <row r="40" spans="1:52" s="223" customFormat="1" ht="15" customHeight="1">
      <c r="A40" s="144"/>
      <c r="B40" s="3136" t="s">
        <v>2396</v>
      </c>
      <c r="C40" s="3137"/>
      <c r="D40" s="3137"/>
      <c r="E40" s="3138" t="s">
        <v>5143</v>
      </c>
      <c r="F40" s="3139"/>
      <c r="G40" s="3139"/>
      <c r="H40" s="3140"/>
      <c r="I40" s="3170">
        <v>5200000</v>
      </c>
      <c r="J40" s="3171"/>
      <c r="K40" s="642">
        <v>7.4200000000000002E-2</v>
      </c>
      <c r="L40" s="809">
        <v>16</v>
      </c>
      <c r="M40" s="809">
        <v>40</v>
      </c>
      <c r="N40" s="3172" t="s">
        <v>5144</v>
      </c>
      <c r="O40" s="3172"/>
      <c r="P40" s="3173">
        <f>IF(OR(I40&lt;=0,I40=""),"",IF(N40="Cash Flow",0,IF(N40="Amortizing",-PMT(K40/12,M40*12,I40,0,0)*12,"")))</f>
        <v>406951.82316822727</v>
      </c>
      <c r="Q40" s="3173"/>
      <c r="S40" s="3082"/>
      <c r="T40" s="3083"/>
      <c r="Y40" s="2473" t="s">
        <v>4250</v>
      </c>
      <c r="Z40" s="1617">
        <v>40</v>
      </c>
      <c r="AZ40" s="1587" t="s">
        <v>4251</v>
      </c>
    </row>
    <row r="41" spans="1:52" s="223" customFormat="1" ht="15" customHeight="1">
      <c r="A41" s="144"/>
      <c r="B41" s="3111" t="s">
        <v>2397</v>
      </c>
      <c r="C41" s="3112"/>
      <c r="D41" s="3112"/>
      <c r="E41" s="3113" t="s">
        <v>5156</v>
      </c>
      <c r="F41" s="3114"/>
      <c r="G41" s="3114"/>
      <c r="H41" s="3115"/>
      <c r="I41" s="3166">
        <v>1594810</v>
      </c>
      <c r="J41" s="3167"/>
      <c r="K41" s="643">
        <v>1.4999999999999999E-2</v>
      </c>
      <c r="L41" s="810">
        <f>384/12</f>
        <v>32</v>
      </c>
      <c r="M41" s="810"/>
      <c r="N41" s="3168" t="s">
        <v>1095</v>
      </c>
      <c r="O41" s="3168"/>
      <c r="P41" s="3169">
        <f>IF(OR(I41&lt;=0,I41=""),"",IF(N41="Cash Flow",0,IF(N41="Amortizing",-PMT(K41/12,M41*12,I41,0,0)*12,"")))</f>
        <v>0</v>
      </c>
      <c r="Q41" s="3169"/>
      <c r="S41" s="3084"/>
      <c r="T41" s="3085"/>
      <c r="Y41" s="2473" t="s">
        <v>4251</v>
      </c>
      <c r="Z41" s="1617">
        <v>41</v>
      </c>
      <c r="AZ41" s="1587" t="s">
        <v>4252</v>
      </c>
    </row>
    <row r="42" spans="1:52" s="223" customFormat="1" ht="15" customHeight="1">
      <c r="A42" s="144"/>
      <c r="B42" s="3111" t="s">
        <v>2398</v>
      </c>
      <c r="C42" s="3112"/>
      <c r="D42" s="3112"/>
      <c r="E42" s="3113"/>
      <c r="F42" s="3114"/>
      <c r="G42" s="3114"/>
      <c r="H42" s="3115"/>
      <c r="I42" s="3166"/>
      <c r="J42" s="3167"/>
      <c r="K42" s="643"/>
      <c r="L42" s="810"/>
      <c r="M42" s="810"/>
      <c r="N42" s="3168"/>
      <c r="O42" s="3168"/>
      <c r="P42" s="3169" t="str">
        <f>IF(OR(I42&lt;=0,I42=""),"",IF(N42="Cash Flow",0,IF(N42="Amortizing",-PMT(K42/12,M42*12,I42,0,0)*12,"")))</f>
        <v/>
      </c>
      <c r="Q42" s="3169"/>
      <c r="S42" s="3084"/>
      <c r="T42" s="3085"/>
      <c r="Y42" s="2473" t="s">
        <v>4252</v>
      </c>
      <c r="Z42" s="1617">
        <v>42</v>
      </c>
      <c r="AZ42" s="1587" t="s">
        <v>4253</v>
      </c>
    </row>
    <row r="43" spans="1:52" s="223" customFormat="1" ht="15" customHeight="1">
      <c r="A43" s="144"/>
      <c r="B43" s="807" t="s">
        <v>689</v>
      </c>
      <c r="C43" s="3174"/>
      <c r="D43" s="3175"/>
      <c r="E43" s="3113"/>
      <c r="F43" s="3114"/>
      <c r="G43" s="3114"/>
      <c r="H43" s="3115"/>
      <c r="I43" s="3176"/>
      <c r="J43" s="3177"/>
      <c r="K43" s="644"/>
      <c r="L43" s="805"/>
      <c r="M43" s="805"/>
      <c r="N43" s="3178"/>
      <c r="O43" s="3178"/>
      <c r="P43" s="3179" t="str">
        <f>IF(OR(I43&lt;=0,I43=""),"",IF(N43="Cash Flow",0,IF(N43="Amortizing",-PMT(K43/12,M43*12,I43,0,0)*12,"")))</f>
        <v/>
      </c>
      <c r="Q43" s="3179"/>
      <c r="S43" s="3084"/>
      <c r="T43" s="3085"/>
      <c r="Y43" s="2473" t="s">
        <v>4253</v>
      </c>
      <c r="Z43" s="1617">
        <v>43</v>
      </c>
      <c r="AZ43" s="1587" t="s">
        <v>4254</v>
      </c>
    </row>
    <row r="44" spans="1:52" s="223" customFormat="1" ht="15" customHeight="1">
      <c r="A44" s="144"/>
      <c r="B44" s="807" t="s">
        <v>3820</v>
      </c>
      <c r="C44" s="144"/>
      <c r="D44" s="811"/>
      <c r="E44" s="3113"/>
      <c r="F44" s="3114"/>
      <c r="G44" s="3114"/>
      <c r="H44" s="3115"/>
      <c r="I44" s="3166"/>
      <c r="J44" s="3167"/>
      <c r="K44" s="363"/>
      <c r="L44" s="806"/>
      <c r="M44" s="806"/>
      <c r="N44" s="3180"/>
      <c r="O44" s="3180"/>
      <c r="P44" s="3181"/>
      <c r="Q44" s="3181"/>
      <c r="S44" s="3084"/>
      <c r="T44" s="3085"/>
      <c r="Y44" s="2473" t="s">
        <v>4254</v>
      </c>
      <c r="Z44" s="1617">
        <v>44</v>
      </c>
      <c r="AZ44" s="1587" t="s">
        <v>4255</v>
      </c>
    </row>
    <row r="45" spans="1:52" s="223" customFormat="1" ht="15" customHeight="1">
      <c r="A45" s="144"/>
      <c r="B45" s="812" t="s">
        <v>220</v>
      </c>
      <c r="C45" s="813"/>
      <c r="D45" s="300">
        <f>IF(OR(I45="",I45=0,'Part III-A-Uses of Funds'!$G$127="",'Part III-A-Uses of Funds'!$G$127=0),"",I45/'Part III-A-Uses of Funds'!$G$127)</f>
        <v>0.14220808080808081</v>
      </c>
      <c r="E45" s="3127" t="s">
        <v>5133</v>
      </c>
      <c r="F45" s="3128"/>
      <c r="G45" s="3128"/>
      <c r="H45" s="3129"/>
      <c r="I45" s="3182">
        <f>I61-SUM(I40:J41,I51:J52)</f>
        <v>281572</v>
      </c>
      <c r="J45" s="3183"/>
      <c r="K45" s="641">
        <v>0</v>
      </c>
      <c r="L45" s="640">
        <v>13</v>
      </c>
      <c r="M45" s="640">
        <v>0</v>
      </c>
      <c r="N45" s="2931" t="s">
        <v>1095</v>
      </c>
      <c r="O45" s="2932"/>
      <c r="P45" s="3184">
        <f>IF(OR(I45&lt;=0,I45=""),"",IF(N45="Cash Flow",0,IF(N45="Amortizing",-PMT(K45/12,M45*12,I45,0,0)*12,"")))</f>
        <v>0</v>
      </c>
      <c r="Q45" s="3185"/>
      <c r="S45" s="3084"/>
      <c r="T45" s="3085"/>
      <c r="Y45" s="2473" t="s">
        <v>4255</v>
      </c>
      <c r="Z45" s="1617">
        <v>45</v>
      </c>
      <c r="AZ45" s="1587"/>
    </row>
    <row r="46" spans="1:52" s="223" customFormat="1" ht="3" customHeight="1">
      <c r="A46" s="144"/>
      <c r="B46" s="144"/>
      <c r="C46" s="144"/>
      <c r="D46" s="144"/>
      <c r="E46" s="144"/>
      <c r="F46" s="144"/>
      <c r="G46" s="144"/>
      <c r="H46" s="144"/>
      <c r="I46" s="954"/>
      <c r="J46" s="955"/>
      <c r="K46" s="827"/>
      <c r="L46" s="262"/>
      <c r="M46" s="262"/>
      <c r="N46" s="828"/>
      <c r="O46" s="828"/>
      <c r="P46" s="262"/>
      <c r="Q46" s="262"/>
      <c r="S46" s="3084"/>
      <c r="T46" s="3085"/>
      <c r="Y46" s="2473"/>
      <c r="Z46" s="1617">
        <v>46</v>
      </c>
      <c r="AZ46" s="1587"/>
    </row>
    <row r="47" spans="1:52" s="223" customFormat="1" ht="15" customHeight="1">
      <c r="A47" s="144"/>
      <c r="B47" s="223" t="s">
        <v>3319</v>
      </c>
      <c r="C47" s="144"/>
      <c r="E47" s="223" t="s">
        <v>3277</v>
      </c>
      <c r="F47" s="3186">
        <f>IF(OR($I$45="",$I$45=0,'Part VI-Pro Forma'!$S$35=0,'Part VI-Pro Forma'!$S$35=""),"",VLOOKUP($L$45,'Part VI-Pro Forma'!$Q$21:$S$40,3))</f>
        <v>1130843.0670736544</v>
      </c>
      <c r="G47" s="3187"/>
      <c r="H47" s="484" t="s">
        <v>3318</v>
      </c>
      <c r="I47" s="3186">
        <f>IF(OR($I$45="",$I$45=0,'Part VI-Pro Forma'!$R$35=0,'Part VI-Pro Forma'!$R$35=""),"",VLOOKUP($L$45,'Part VI-Pro Forma'!$Q$21:$S$35,2))</f>
        <v>281572</v>
      </c>
      <c r="J47" s="3187"/>
      <c r="K47" s="484" t="s">
        <v>3320</v>
      </c>
      <c r="L47" s="3188">
        <f>IF(OR($F$47 = 0,$F$47 =""),"",$I$47/$F$47)</f>
        <v>0.24899299310260578</v>
      </c>
      <c r="M47" s="3189"/>
      <c r="N47" s="3190" t="s">
        <v>3725</v>
      </c>
      <c r="O47" s="3191"/>
      <c r="P47" s="3192">
        <f>IF(OR($I$62=0,$I$60&gt;$I$61),0,ABS($I$60-$I$61))</f>
        <v>0</v>
      </c>
      <c r="Q47" s="3193"/>
      <c r="S47" s="3084"/>
      <c r="T47" s="3085"/>
      <c r="Y47" s="2473"/>
      <c r="Z47" s="1617">
        <v>47</v>
      </c>
      <c r="AZ47" s="1587"/>
    </row>
    <row r="48" spans="1:52" s="223" customFormat="1" ht="3" customHeight="1">
      <c r="A48" s="144"/>
      <c r="B48" s="144"/>
      <c r="C48" s="144"/>
      <c r="D48" s="144"/>
      <c r="E48" s="144"/>
      <c r="F48" s="144"/>
      <c r="G48" s="144"/>
      <c r="H48" s="144"/>
      <c r="I48" s="829"/>
      <c r="J48" s="830"/>
      <c r="K48" s="827"/>
      <c r="L48" s="262"/>
      <c r="M48" s="262"/>
      <c r="N48" s="828"/>
      <c r="O48" s="828"/>
      <c r="P48" s="262"/>
      <c r="Q48" s="262"/>
      <c r="S48" s="3086"/>
      <c r="T48" s="3087"/>
      <c r="Y48" s="2473"/>
      <c r="Z48" s="1617">
        <v>48</v>
      </c>
      <c r="AZ48" s="1587" t="s">
        <v>4256</v>
      </c>
    </row>
    <row r="49" spans="1:52" s="223" customFormat="1" ht="15" customHeight="1">
      <c r="A49" s="144"/>
      <c r="B49" s="3194" t="s">
        <v>2042</v>
      </c>
      <c r="C49" s="3195"/>
      <c r="D49" s="3196"/>
      <c r="E49" s="3138"/>
      <c r="F49" s="3139"/>
      <c r="G49" s="3139"/>
      <c r="H49" s="3140"/>
      <c r="I49" s="3197"/>
      <c r="J49" s="3198"/>
      <c r="K49" s="144"/>
      <c r="L49" s="144"/>
      <c r="M49" s="144"/>
      <c r="N49" s="144"/>
      <c r="O49" s="144"/>
      <c r="P49" s="248" t="s">
        <v>482</v>
      </c>
      <c r="Q49" s="144"/>
      <c r="S49" s="3082"/>
      <c r="T49" s="3083"/>
      <c r="Y49" s="2473" t="s">
        <v>4256</v>
      </c>
      <c r="Z49" s="1617">
        <v>49</v>
      </c>
      <c r="AZ49" s="1587" t="s">
        <v>4257</v>
      </c>
    </row>
    <row r="50" spans="1:52" s="223" customFormat="1" ht="15" customHeight="1">
      <c r="A50" s="144"/>
      <c r="B50" s="3111" t="s">
        <v>744</v>
      </c>
      <c r="C50" s="3112"/>
      <c r="D50" s="3199"/>
      <c r="E50" s="3113"/>
      <c r="F50" s="3114"/>
      <c r="G50" s="3114"/>
      <c r="H50" s="3115"/>
      <c r="I50" s="3166"/>
      <c r="J50" s="3167"/>
      <c r="L50" s="3200" t="s">
        <v>483</v>
      </c>
      <c r="M50" s="3200"/>
      <c r="N50" s="3201" t="s">
        <v>484</v>
      </c>
      <c r="O50" s="3201"/>
      <c r="P50" s="313" t="s">
        <v>2351</v>
      </c>
      <c r="Q50" s="144"/>
      <c r="S50" s="3084"/>
      <c r="T50" s="3085"/>
      <c r="Y50" s="2473" t="s">
        <v>4257</v>
      </c>
      <c r="Z50" s="1617">
        <v>50</v>
      </c>
      <c r="AZ50" s="1587" t="s">
        <v>4258</v>
      </c>
    </row>
    <row r="51" spans="1:52" s="223" customFormat="1" ht="15" customHeight="1">
      <c r="A51" s="144"/>
      <c r="B51" s="3111" t="s">
        <v>745</v>
      </c>
      <c r="C51" s="3112"/>
      <c r="D51" s="3199"/>
      <c r="E51" s="3113" t="s">
        <v>5142</v>
      </c>
      <c r="F51" s="3114"/>
      <c r="G51" s="3114"/>
      <c r="H51" s="3115"/>
      <c r="I51" s="3166">
        <v>12294558</v>
      </c>
      <c r="J51" s="3166"/>
      <c r="L51" s="3202">
        <f>'Part III-A-Uses of Funds'!$J$191*10*'Part III-A-Uses of Funds'!$N$182</f>
        <v>12420000</v>
      </c>
      <c r="M51" s="3202"/>
      <c r="N51" s="3203">
        <f>I51-L51</f>
        <v>-125442</v>
      </c>
      <c r="O51" s="3203"/>
      <c r="P51" s="323">
        <f>I51/I61</f>
        <v>0.45442596120367518</v>
      </c>
      <c r="Q51" s="144"/>
      <c r="S51" s="3084"/>
      <c r="T51" s="3085"/>
      <c r="Y51" s="2473" t="s">
        <v>4258</v>
      </c>
      <c r="Z51" s="1617">
        <v>51</v>
      </c>
      <c r="AZ51" s="1587" t="s">
        <v>4259</v>
      </c>
    </row>
    <row r="52" spans="1:52" s="223" customFormat="1" ht="15" customHeight="1">
      <c r="A52" s="144"/>
      <c r="B52" s="3111" t="s">
        <v>746</v>
      </c>
      <c r="C52" s="3112"/>
      <c r="D52" s="3199"/>
      <c r="E52" s="3113" t="s">
        <v>5142</v>
      </c>
      <c r="F52" s="3114"/>
      <c r="G52" s="3114"/>
      <c r="H52" s="3115"/>
      <c r="I52" s="3166">
        <v>7684200</v>
      </c>
      <c r="J52" s="3166"/>
      <c r="L52" s="3202">
        <f>'Part III-A-Uses of Funds'!$J$191*10*'Part III-A-Uses of Funds'!$Q$182</f>
        <v>7560000.0000000009</v>
      </c>
      <c r="M52" s="3202"/>
      <c r="N52" s="3203">
        <f>I52-L52</f>
        <v>124199.99999999907</v>
      </c>
      <c r="O52" s="3203"/>
      <c r="P52" s="323">
        <f>I52/I61</f>
        <v>0.28401996810957181</v>
      </c>
      <c r="Q52" s="144"/>
      <c r="S52" s="3084"/>
      <c r="T52" s="3085"/>
      <c r="Y52" s="2473" t="s">
        <v>4259</v>
      </c>
      <c r="Z52" s="1617">
        <v>52</v>
      </c>
      <c r="AZ52" s="1587" t="s">
        <v>4260</v>
      </c>
    </row>
    <row r="53" spans="1:52" s="223" customFormat="1" ht="15" customHeight="1">
      <c r="A53" s="144"/>
      <c r="B53" s="3111" t="s">
        <v>1329</v>
      </c>
      <c r="C53" s="3112"/>
      <c r="D53" s="3199"/>
      <c r="E53" s="3113"/>
      <c r="F53" s="3114"/>
      <c r="G53" s="3114"/>
      <c r="H53" s="3115"/>
      <c r="I53" s="3166"/>
      <c r="J53" s="3166"/>
      <c r="P53" s="324">
        <f>SUM(P51:P52)</f>
        <v>0.73844592931324704</v>
      </c>
      <c r="Q53" s="144"/>
      <c r="S53" s="3086"/>
      <c r="T53" s="3087"/>
      <c r="Y53" s="2473" t="s">
        <v>4260</v>
      </c>
      <c r="Z53" s="1617">
        <v>53</v>
      </c>
      <c r="AZ53" s="1587"/>
    </row>
    <row r="54" spans="1:52" s="223" customFormat="1" ht="15" customHeight="1">
      <c r="A54" s="144"/>
      <c r="B54" s="807" t="s">
        <v>496</v>
      </c>
      <c r="C54" s="144"/>
      <c r="D54" s="811"/>
      <c r="E54" s="3113"/>
      <c r="F54" s="3114"/>
      <c r="G54" s="3114"/>
      <c r="H54" s="3115"/>
      <c r="I54" s="3166"/>
      <c r="J54" s="3166"/>
      <c r="K54" s="144"/>
      <c r="Q54" s="144"/>
      <c r="S54" s="3084"/>
      <c r="T54" s="3085"/>
      <c r="Y54" s="2473"/>
      <c r="Z54" s="1617">
        <v>54</v>
      </c>
      <c r="AZ54" s="1587"/>
    </row>
    <row r="55" spans="1:52" s="223" customFormat="1" ht="15" customHeight="1">
      <c r="A55" s="144"/>
      <c r="B55" s="807" t="s">
        <v>1727</v>
      </c>
      <c r="C55" s="144"/>
      <c r="D55" s="811"/>
      <c r="E55" s="3113"/>
      <c r="F55" s="3114"/>
      <c r="G55" s="3114"/>
      <c r="H55" s="3115"/>
      <c r="I55" s="3166"/>
      <c r="J55" s="3166"/>
      <c r="N55" s="301"/>
      <c r="O55" s="301"/>
      <c r="P55" s="301"/>
      <c r="Q55" s="144"/>
      <c r="S55" s="3084"/>
      <c r="T55" s="3085"/>
      <c r="Y55" s="2473"/>
      <c r="Z55" s="1617">
        <v>55</v>
      </c>
      <c r="AZ55" s="1587"/>
    </row>
    <row r="56" spans="1:52" s="223" customFormat="1" ht="15" customHeight="1">
      <c r="A56" s="144"/>
      <c r="B56" s="807" t="s">
        <v>1728</v>
      </c>
      <c r="C56" s="144"/>
      <c r="D56" s="811"/>
      <c r="E56" s="3113"/>
      <c r="F56" s="3114"/>
      <c r="G56" s="3114"/>
      <c r="H56" s="3115"/>
      <c r="I56" s="3166"/>
      <c r="J56" s="3166"/>
      <c r="M56" s="301"/>
      <c r="N56" s="301"/>
      <c r="O56" s="301"/>
      <c r="P56" s="301"/>
      <c r="Q56" s="144"/>
      <c r="S56" s="3084"/>
      <c r="T56" s="3085"/>
      <c r="Y56" s="2473"/>
      <c r="Z56" s="1617">
        <v>56</v>
      </c>
      <c r="AZ56" s="1587" t="s">
        <v>4261</v>
      </c>
    </row>
    <row r="57" spans="1:52" s="223" customFormat="1" ht="15" customHeight="1">
      <c r="A57" s="144"/>
      <c r="B57" s="807" t="s">
        <v>689</v>
      </c>
      <c r="C57" s="3154"/>
      <c r="D57" s="3154"/>
      <c r="E57" s="3113"/>
      <c r="F57" s="3114"/>
      <c r="G57" s="3114"/>
      <c r="H57" s="3115"/>
      <c r="I57" s="3166"/>
      <c r="J57" s="3166"/>
      <c r="M57" s="301"/>
      <c r="N57" s="301"/>
      <c r="O57" s="301"/>
      <c r="P57" s="301"/>
      <c r="Q57" s="144"/>
      <c r="S57" s="3084"/>
      <c r="T57" s="3085"/>
      <c r="Y57" s="2473" t="s">
        <v>4261</v>
      </c>
      <c r="Z57" s="1617">
        <v>57</v>
      </c>
      <c r="AZ57" s="1587" t="s">
        <v>4262</v>
      </c>
    </row>
    <row r="58" spans="1:52" s="223" customFormat="1" ht="15" customHeight="1">
      <c r="A58" s="144"/>
      <c r="B58" s="807" t="s">
        <v>689</v>
      </c>
      <c r="C58" s="3155"/>
      <c r="D58" s="3155"/>
      <c r="E58" s="3113"/>
      <c r="F58" s="3114"/>
      <c r="G58" s="3114"/>
      <c r="H58" s="3115"/>
      <c r="I58" s="3166"/>
      <c r="J58" s="3166"/>
      <c r="K58" s="144"/>
      <c r="L58" s="248"/>
      <c r="M58" s="301"/>
      <c r="N58" s="301"/>
      <c r="O58" s="301"/>
      <c r="P58" s="301"/>
      <c r="Q58" s="144"/>
      <c r="S58" s="3084"/>
      <c r="T58" s="3085"/>
      <c r="Y58" s="2473" t="s">
        <v>4262</v>
      </c>
      <c r="Z58" s="1617">
        <v>58</v>
      </c>
      <c r="AZ58" s="1587" t="s">
        <v>4263</v>
      </c>
    </row>
    <row r="59" spans="1:52" s="223" customFormat="1" ht="15" customHeight="1">
      <c r="A59" s="144"/>
      <c r="B59" s="812" t="s">
        <v>689</v>
      </c>
      <c r="C59" s="3159"/>
      <c r="D59" s="3159"/>
      <c r="E59" s="3127"/>
      <c r="F59" s="3128"/>
      <c r="G59" s="3128"/>
      <c r="H59" s="3129"/>
      <c r="I59" s="3207"/>
      <c r="J59" s="3207"/>
      <c r="K59" s="144"/>
      <c r="L59" s="248"/>
      <c r="M59" s="301"/>
      <c r="N59" s="301"/>
      <c r="O59" s="301"/>
      <c r="P59" s="301"/>
      <c r="Q59" s="144"/>
      <c r="S59" s="3084"/>
      <c r="T59" s="3085"/>
      <c r="Y59" s="2473" t="s">
        <v>4263</v>
      </c>
      <c r="Z59" s="1617">
        <v>59</v>
      </c>
      <c r="AZ59" s="1587"/>
    </row>
    <row r="60" spans="1:52" s="223" customFormat="1" ht="14.25" customHeight="1">
      <c r="A60" s="144"/>
      <c r="B60" s="246" t="s">
        <v>2043</v>
      </c>
      <c r="C60" s="144"/>
      <c r="D60" s="144"/>
      <c r="E60" s="144"/>
      <c r="F60" s="144"/>
      <c r="G60" s="144"/>
      <c r="I60" s="3208">
        <f>SUM(I40:J45)+SUM(I49:J59)</f>
        <v>27055140</v>
      </c>
      <c r="J60" s="3209"/>
      <c r="K60" s="144"/>
      <c r="L60" s="248"/>
      <c r="M60" s="301"/>
      <c r="N60" s="301"/>
      <c r="O60" s="301"/>
      <c r="P60" s="301"/>
      <c r="Q60" s="144"/>
      <c r="S60" s="3084"/>
      <c r="T60" s="3085"/>
      <c r="Y60" s="2473"/>
      <c r="Z60" s="1617">
        <v>60</v>
      </c>
      <c r="AZ60" s="1587"/>
    </row>
    <row r="61" spans="1:52" s="223" customFormat="1" ht="14.25" customHeight="1" thickBot="1">
      <c r="A61" s="144"/>
      <c r="B61" s="246" t="s">
        <v>2044</v>
      </c>
      <c r="C61" s="144"/>
      <c r="D61" s="144"/>
      <c r="E61" s="144"/>
      <c r="F61" s="144"/>
      <c r="G61" s="144"/>
      <c r="I61" s="3210">
        <f>'Part III-A-Uses of Funds'!$G$146</f>
        <v>27055140</v>
      </c>
      <c r="J61" s="3211"/>
      <c r="K61" s="144"/>
      <c r="L61" s="248"/>
      <c r="M61" s="301"/>
      <c r="N61" s="301"/>
      <c r="O61" s="301"/>
      <c r="P61" s="301"/>
      <c r="Q61" s="144"/>
      <c r="S61" s="3084"/>
      <c r="T61" s="3085"/>
      <c r="Y61" s="2473"/>
      <c r="Z61" s="1617">
        <v>61</v>
      </c>
      <c r="AZ61" s="1587"/>
    </row>
    <row r="62" spans="1:52" s="223" customFormat="1" ht="14.25" customHeight="1" thickBot="1">
      <c r="A62" s="144"/>
      <c r="B62" s="246" t="s">
        <v>1426</v>
      </c>
      <c r="C62" s="144"/>
      <c r="D62" s="144"/>
      <c r="E62" s="144"/>
      <c r="F62" s="144"/>
      <c r="G62" s="144"/>
      <c r="I62" s="3212">
        <f>I60-I61</f>
        <v>0</v>
      </c>
      <c r="J62" s="3213"/>
      <c r="K62" s="144"/>
      <c r="L62" s="248"/>
      <c r="M62" s="301"/>
      <c r="N62" s="301"/>
      <c r="O62" s="301"/>
      <c r="P62" s="301"/>
      <c r="Q62" s="144"/>
      <c r="S62" s="3086"/>
      <c r="T62" s="3087"/>
      <c r="Y62" s="2473"/>
      <c r="Z62" s="1617">
        <v>62</v>
      </c>
      <c r="AZ62" s="1587"/>
    </row>
    <row r="63" spans="1:52" s="223" customFormat="1" ht="13.35" customHeight="1">
      <c r="A63" s="144" t="s">
        <v>3821</v>
      </c>
      <c r="B63" s="246"/>
      <c r="C63" s="144"/>
      <c r="D63" s="144"/>
      <c r="E63" s="144"/>
      <c r="F63" s="144"/>
      <c r="G63" s="144"/>
      <c r="H63" s="297"/>
      <c r="I63" s="297"/>
      <c r="J63" s="145"/>
      <c r="K63" s="144"/>
      <c r="L63" s="248"/>
      <c r="M63" s="301"/>
      <c r="N63" s="301"/>
      <c r="O63" s="301"/>
      <c r="P63" s="301"/>
      <c r="Q63" s="144"/>
      <c r="R63" s="144"/>
      <c r="S63" s="144"/>
      <c r="T63" s="144"/>
      <c r="Y63" s="2473"/>
      <c r="Z63" s="1617">
        <v>63</v>
      </c>
      <c r="AZ63" s="1586"/>
    </row>
    <row r="64" spans="1:52" ht="2.25" customHeight="1">
      <c r="A64" s="145"/>
      <c r="B64" s="145"/>
      <c r="C64" s="145"/>
      <c r="D64" s="145"/>
      <c r="E64" s="145"/>
      <c r="F64" s="145"/>
      <c r="G64" s="145"/>
      <c r="H64" s="145"/>
      <c r="I64" s="145"/>
      <c r="J64" s="145"/>
      <c r="K64" s="145"/>
      <c r="L64" s="145"/>
      <c r="M64" s="145"/>
      <c r="N64" s="145"/>
      <c r="O64" s="145"/>
      <c r="P64" s="145"/>
      <c r="Q64" s="145"/>
      <c r="Z64" s="1617">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7">
        <v>65</v>
      </c>
      <c r="AZ65" s="1589"/>
    </row>
    <row r="66" spans="1:52" ht="111.75" customHeight="1">
      <c r="A66" s="3204"/>
      <c r="B66" s="3204"/>
      <c r="C66" s="3204"/>
      <c r="D66" s="3204"/>
      <c r="E66" s="3204"/>
      <c r="F66" s="3204"/>
      <c r="G66" s="3204"/>
      <c r="H66" s="3204"/>
      <c r="I66" s="3204"/>
      <c r="J66" s="3204"/>
      <c r="K66" s="3204"/>
      <c r="L66" s="3204"/>
      <c r="M66" s="3205"/>
      <c r="N66" s="3205"/>
      <c r="O66" s="3205"/>
      <c r="P66" s="3205"/>
      <c r="Q66" s="3205"/>
      <c r="S66" s="3206" t="s">
        <v>2445</v>
      </c>
      <c r="T66" s="3206"/>
      <c r="U66" s="366"/>
      <c r="V66" s="366"/>
      <c r="W66" s="366"/>
      <c r="Y66" s="2475"/>
      <c r="Z66" s="1617">
        <v>66</v>
      </c>
      <c r="AZ66" s="1589"/>
    </row>
    <row r="67" spans="1:52" ht="11.25" customHeight="1">
      <c r="S67" s="366"/>
      <c r="T67" s="366"/>
      <c r="U67" s="366"/>
      <c r="V67" s="366"/>
      <c r="W67" s="366"/>
      <c r="Y67" s="2475"/>
    </row>
    <row r="68" spans="1:52" ht="12" customHeight="1"/>
    <row r="69" spans="1:52" ht="12" customHeight="1">
      <c r="B69" s="277"/>
    </row>
    <row r="70" spans="1:52" ht="14.65" customHeight="1">
      <c r="AZ70" s="1587"/>
    </row>
    <row r="71" spans="1:52" s="223" customFormat="1" ht="14.65" customHeight="1">
      <c r="Y71" s="2473"/>
      <c r="Z71" s="1653"/>
      <c r="AZ71" s="1587"/>
    </row>
    <row r="72" spans="1:52" s="223" customFormat="1" ht="14.65" customHeight="1">
      <c r="Y72" s="2473"/>
      <c r="Z72" s="1653"/>
      <c r="AZ72" s="1587"/>
    </row>
    <row r="73" spans="1:52" s="223" customFormat="1" ht="14.65" customHeight="1">
      <c r="Y73" s="2473"/>
      <c r="Z73" s="1653"/>
      <c r="AZ73" s="1586"/>
    </row>
    <row r="74" spans="1:52" ht="14.65" customHeight="1">
      <c r="AZ74" s="1587"/>
    </row>
    <row r="75" spans="1:52" s="223" customFormat="1" ht="14.65" customHeight="1">
      <c r="A75" s="278"/>
      <c r="Y75" s="2473"/>
      <c r="Z75" s="1653"/>
      <c r="AZ75" s="1587"/>
    </row>
    <row r="76" spans="1:52" s="223" customFormat="1" ht="14.65" customHeight="1">
      <c r="A76" s="278"/>
      <c r="Y76" s="2473"/>
      <c r="Z76" s="1653"/>
      <c r="AZ76" s="1587"/>
    </row>
    <row r="77" spans="1:52" s="223" customFormat="1" ht="14.65" customHeight="1">
      <c r="Y77" s="2473"/>
      <c r="Z77" s="1653"/>
      <c r="AZ77" s="1587"/>
    </row>
    <row r="78" spans="1:52" s="223" customFormat="1" ht="14.65" customHeight="1">
      <c r="A78" s="278"/>
      <c r="Y78" s="2473"/>
      <c r="Z78" s="1653"/>
      <c r="AZ78" s="1587"/>
    </row>
    <row r="79" spans="1:52" s="223" customFormat="1" ht="14.65" customHeight="1">
      <c r="A79" s="276"/>
      <c r="Y79" s="2473"/>
      <c r="Z79" s="1653"/>
      <c r="AZ79" s="1587"/>
    </row>
    <row r="80" spans="1:52" s="223" customFormat="1" ht="14.65" customHeight="1">
      <c r="A80" s="276"/>
      <c r="Y80" s="2473"/>
      <c r="Z80" s="1653"/>
      <c r="AZ80" s="1587"/>
    </row>
    <row r="81" spans="1:52" s="223" customFormat="1" ht="14.65" customHeight="1">
      <c r="A81" s="279"/>
      <c r="Y81" s="2473"/>
      <c r="Z81" s="1653"/>
      <c r="AZ81" s="1587"/>
    </row>
    <row r="82" spans="1:52" s="223" customFormat="1" ht="14.65" customHeight="1">
      <c r="A82" s="278"/>
      <c r="Y82" s="2473"/>
      <c r="Z82" s="1653"/>
      <c r="AZ82" s="1587"/>
    </row>
    <row r="83" spans="1:52" s="223" customFormat="1" ht="14.65" customHeight="1">
      <c r="A83" s="276"/>
      <c r="Y83" s="2473"/>
      <c r="Z83" s="1653"/>
      <c r="AZ83" s="1587"/>
    </row>
    <row r="84" spans="1:52" s="223" customFormat="1" ht="14.65" customHeight="1">
      <c r="A84" s="276"/>
      <c r="Y84" s="2473"/>
      <c r="Z84" s="1653"/>
      <c r="AZ84" s="1587"/>
    </row>
    <row r="85" spans="1:52" s="223" customFormat="1" ht="14.65" customHeight="1">
      <c r="A85" s="279"/>
      <c r="Y85" s="2473"/>
      <c r="Z85" s="1653"/>
      <c r="AZ85" s="1587"/>
    </row>
    <row r="86" spans="1:52" s="223" customFormat="1" ht="14.65" customHeight="1">
      <c r="A86" s="278"/>
      <c r="Y86" s="2473"/>
      <c r="Z86" s="1653"/>
      <c r="AZ86" s="1587"/>
    </row>
    <row r="87" spans="1:52" s="223" customFormat="1" ht="14.65" customHeight="1">
      <c r="A87" s="276"/>
      <c r="Y87" s="2473"/>
      <c r="Z87" s="1653"/>
      <c r="AZ87" s="1587"/>
    </row>
    <row r="88" spans="1:52" s="223" customFormat="1" ht="14.65" customHeight="1">
      <c r="A88" s="276"/>
      <c r="Y88" s="2473"/>
      <c r="Z88" s="1653"/>
      <c r="AZ88" s="1587"/>
    </row>
    <row r="89" spans="1:52" s="223" customFormat="1" ht="14.65" customHeight="1">
      <c r="A89" s="279"/>
      <c r="Y89" s="2473"/>
      <c r="Z89" s="1653"/>
      <c r="AZ89" s="1587"/>
    </row>
    <row r="90" spans="1:52" s="223" customFormat="1" ht="14.65" customHeight="1">
      <c r="A90" s="279"/>
      <c r="Y90" s="2473"/>
      <c r="Z90" s="1653"/>
      <c r="AZ90" s="1587"/>
    </row>
    <row r="91" spans="1:52" s="223" customFormat="1" ht="14.65" customHeight="1">
      <c r="A91" s="279"/>
      <c r="Y91" s="2473"/>
      <c r="Z91" s="1653"/>
      <c r="AZ91" s="1587"/>
    </row>
    <row r="92" spans="1:52" s="223" customFormat="1" ht="14.65" customHeight="1">
      <c r="A92" s="279"/>
      <c r="Y92" s="2473"/>
      <c r="Z92" s="1653"/>
      <c r="AZ92" s="1587"/>
    </row>
    <row r="93" spans="1:52" s="223" customFormat="1" ht="14.65" customHeight="1">
      <c r="Y93" s="2473"/>
      <c r="Z93" s="1653"/>
      <c r="AZ93" s="1587"/>
    </row>
    <row r="94" spans="1:52" s="223" customFormat="1" ht="14.65" customHeight="1">
      <c r="Y94" s="2473"/>
      <c r="Z94" s="1653"/>
      <c r="AZ94" s="1586"/>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75" bottom="0.5" header="0.3" footer="0.3"/>
  <pageSetup scale="89"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4" t="e">
        <f>CONCATENATE("PART III B: USD 538 LOAN","  -  ",#REF!," ",#REF!,", ",#REF!,", ",#REF!," County")</f>
        <v>#REF!</v>
      </c>
      <c r="B1" s="3215"/>
      <c r="C1" s="3215"/>
      <c r="D1" s="3215"/>
      <c r="E1" s="3215"/>
      <c r="F1" s="3216"/>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2" t="s">
        <v>210</v>
      </c>
      <c r="B3" s="3222"/>
      <c r="C3" s="3222"/>
      <c r="D3" s="3222"/>
      <c r="E3" s="3222"/>
      <c r="F3" s="3222"/>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3" t="s">
        <v>122</v>
      </c>
      <c r="B14" s="3223"/>
      <c r="C14" s="3223"/>
      <c r="D14" s="3223"/>
      <c r="E14" s="3223"/>
      <c r="F14" s="3223"/>
      <c r="G14" s="162"/>
      <c r="H14" s="162"/>
    </row>
    <row r="15" spans="1:17" ht="5.65" customHeight="1">
      <c r="A15" s="10"/>
      <c r="E15" s="169"/>
      <c r="F15" s="162"/>
      <c r="G15" s="162"/>
      <c r="H15" s="162"/>
    </row>
    <row r="16" spans="1:17" ht="13.35" customHeight="1">
      <c r="A16" s="170" t="s">
        <v>2278</v>
      </c>
      <c r="B16" s="171" t="s">
        <v>2275</v>
      </c>
      <c r="C16" s="171" t="s">
        <v>2276</v>
      </c>
      <c r="D16" s="3220" t="s">
        <v>2077</v>
      </c>
      <c r="E16" s="3220"/>
      <c r="F16" s="162"/>
      <c r="G16" s="162"/>
      <c r="H16" s="162"/>
    </row>
    <row r="17" spans="1:8" ht="12.6" customHeight="1">
      <c r="A17" s="60">
        <v>1</v>
      </c>
      <c r="B17" s="155">
        <f>IF(A17&gt;$C$9,0,SUM(C64:C75)*($C$6/$C$7))</f>
        <v>0</v>
      </c>
      <c r="C17" s="158">
        <f>IF(A17&gt;C9,0,(E63+K63)*$C$8)</f>
        <v>0</v>
      </c>
      <c r="D17" s="3224">
        <f t="shared" ref="D17:D56" si="0">IF(A17&gt;$C$9,0,$C$11+C17)</f>
        <v>0</v>
      </c>
      <c r="E17" s="3224"/>
      <c r="F17" s="162"/>
      <c r="G17" s="162"/>
      <c r="H17" s="162"/>
    </row>
    <row r="18" spans="1:8" ht="12.6" customHeight="1">
      <c r="A18" s="60">
        <v>2</v>
      </c>
      <c r="B18" s="155">
        <f>IF(A18&gt;C9,0,SUM(C76:C87)*($C$6/$C$7))</f>
        <v>0</v>
      </c>
      <c r="C18" s="158">
        <f>IF(A18&gt;C9,0,(E75+K75)*$C$8)</f>
        <v>0</v>
      </c>
      <c r="D18" s="3217">
        <f t="shared" si="0"/>
        <v>0</v>
      </c>
      <c r="E18" s="3217"/>
      <c r="F18" s="162"/>
      <c r="G18" s="162"/>
      <c r="H18" s="162"/>
    </row>
    <row r="19" spans="1:8" ht="12.6" customHeight="1">
      <c r="A19" s="60">
        <v>3</v>
      </c>
      <c r="B19" s="155">
        <f>IF(A19&gt;C9,0,SUM(C88:C99)*($C$6/$C$7))</f>
        <v>0</v>
      </c>
      <c r="C19" s="158">
        <f>IF(A19&gt;C9,0,(E87+K87)*$C$8)</f>
        <v>0</v>
      </c>
      <c r="D19" s="3217">
        <f t="shared" si="0"/>
        <v>0</v>
      </c>
      <c r="E19" s="3217"/>
      <c r="F19" s="162"/>
      <c r="G19" s="162"/>
      <c r="H19" s="162"/>
    </row>
    <row r="20" spans="1:8" ht="12.6" customHeight="1">
      <c r="A20" s="60">
        <v>4</v>
      </c>
      <c r="B20" s="155">
        <f>IF(A20&gt;C9,0,SUM(C100:C111)*($C$6/$C$7))</f>
        <v>0</v>
      </c>
      <c r="C20" s="158">
        <f>IF(A20&gt;C9,0,(E99+K99)*$C$8)</f>
        <v>0</v>
      </c>
      <c r="D20" s="3217">
        <f t="shared" si="0"/>
        <v>0</v>
      </c>
      <c r="E20" s="3217"/>
      <c r="F20" s="162"/>
      <c r="G20" s="162"/>
      <c r="H20" s="162"/>
    </row>
    <row r="21" spans="1:8" ht="12.6" customHeight="1">
      <c r="A21" s="60">
        <v>5</v>
      </c>
      <c r="B21" s="155">
        <f>IF(A21&gt;C9,0,SUM(C112:C123)*($C$6/$C$7))</f>
        <v>0</v>
      </c>
      <c r="C21" s="158">
        <f>IF(A21&gt;C9,0,(E111+K111)*$C$8)</f>
        <v>0</v>
      </c>
      <c r="D21" s="3218">
        <f t="shared" si="0"/>
        <v>0</v>
      </c>
      <c r="E21" s="3218"/>
      <c r="F21" s="162"/>
      <c r="G21" s="162"/>
      <c r="H21" s="162"/>
    </row>
    <row r="22" spans="1:8" ht="12.6" customHeight="1">
      <c r="A22" s="156">
        <v>6</v>
      </c>
      <c r="B22" s="157">
        <f>IF(A22&gt;C9,0,SUM(C124:C135)*($C$6/$C$7))</f>
        <v>0</v>
      </c>
      <c r="C22" s="173">
        <f>IF(A22&gt;C9,0,(E123+K123)*$C$8)</f>
        <v>0</v>
      </c>
      <c r="D22" s="3217">
        <f t="shared" si="0"/>
        <v>0</v>
      </c>
      <c r="E22" s="3217"/>
      <c r="F22" s="162"/>
      <c r="G22" s="162"/>
      <c r="H22" s="162"/>
    </row>
    <row r="23" spans="1:8" ht="12.6" customHeight="1">
      <c r="A23" s="60">
        <v>7</v>
      </c>
      <c r="B23" s="155">
        <f>IF(A23&gt;C9,0,SUM(C136:C147)*($C$6/$C$7))</f>
        <v>0</v>
      </c>
      <c r="C23" s="158">
        <f>IF(A23&gt;C9,0,(E135+K135)*$C$8)</f>
        <v>0</v>
      </c>
      <c r="D23" s="3217">
        <f t="shared" si="0"/>
        <v>0</v>
      </c>
      <c r="E23" s="3217"/>
      <c r="F23" s="162"/>
      <c r="G23" s="162"/>
      <c r="H23" s="162"/>
    </row>
    <row r="24" spans="1:8" ht="12.6" customHeight="1">
      <c r="A24" s="60">
        <v>8</v>
      </c>
      <c r="B24" s="155">
        <f>IF(A24&gt;C9,0,SUM(C148:C159)*($C$6/$C$7))</f>
        <v>0</v>
      </c>
      <c r="C24" s="158">
        <f>IF(A24&gt;C9,0,(E147+K147)*$C$8)</f>
        <v>0</v>
      </c>
      <c r="D24" s="3217">
        <f t="shared" si="0"/>
        <v>0</v>
      </c>
      <c r="E24" s="3217"/>
      <c r="F24" s="162"/>
      <c r="G24" s="162"/>
      <c r="H24" s="162"/>
    </row>
    <row r="25" spans="1:8" ht="12.6" customHeight="1">
      <c r="A25" s="60">
        <v>9</v>
      </c>
      <c r="B25" s="155">
        <f>IF(A25&gt;C9,0,SUM(C160:C171)*($C$6/$C$7))</f>
        <v>0</v>
      </c>
      <c r="C25" s="158">
        <f>IF(A25&gt;C9,0,(E159+K159)*$C$8)</f>
        <v>0</v>
      </c>
      <c r="D25" s="3217">
        <f t="shared" si="0"/>
        <v>0</v>
      </c>
      <c r="E25" s="3217"/>
      <c r="F25" s="162"/>
      <c r="G25" s="162"/>
      <c r="H25" s="162"/>
    </row>
    <row r="26" spans="1:8" ht="12.6" customHeight="1">
      <c r="A26" s="159">
        <v>10</v>
      </c>
      <c r="B26" s="160">
        <f>IF(A26&gt;C9,0,SUM(C172:C183)*($C$6/$C$7))</f>
        <v>0</v>
      </c>
      <c r="C26" s="172">
        <f>IF(A26&gt;C9,0,(E171+K171)*$C$8)</f>
        <v>0</v>
      </c>
      <c r="D26" s="3218">
        <f t="shared" si="0"/>
        <v>0</v>
      </c>
      <c r="E26" s="3218"/>
      <c r="F26" s="162"/>
      <c r="G26" s="162"/>
      <c r="H26" s="162"/>
    </row>
    <row r="27" spans="1:8" ht="12.6" customHeight="1">
      <c r="A27" s="60">
        <v>11</v>
      </c>
      <c r="B27" s="155">
        <f>IF(A27&gt;C9,0,SUM(C184:C195)*($C$6/$C$7))</f>
        <v>0</v>
      </c>
      <c r="C27" s="158">
        <f>IF(A27&gt;C9,0,(E183+K183)*$C$8)</f>
        <v>0</v>
      </c>
      <c r="D27" s="3217">
        <f t="shared" si="0"/>
        <v>0</v>
      </c>
      <c r="E27" s="3217"/>
      <c r="F27" s="162"/>
      <c r="G27" s="162"/>
      <c r="H27" s="162"/>
    </row>
    <row r="28" spans="1:8" ht="12.6" customHeight="1">
      <c r="A28" s="60">
        <v>12</v>
      </c>
      <c r="B28" s="155">
        <f>IF(A28&gt;C9,0,SUM(C196:C207)*($C$6/$C$7))</f>
        <v>0</v>
      </c>
      <c r="C28" s="158">
        <f>IF(A28&gt;C9,0,(E195+K195)*$C$8)</f>
        <v>0</v>
      </c>
      <c r="D28" s="3217">
        <f t="shared" si="0"/>
        <v>0</v>
      </c>
      <c r="E28" s="3217"/>
      <c r="F28" s="162"/>
      <c r="G28" s="162"/>
      <c r="H28" s="162"/>
    </row>
    <row r="29" spans="1:8" ht="12.6" customHeight="1">
      <c r="A29" s="60">
        <v>13</v>
      </c>
      <c r="B29" s="155">
        <f>IF(A29&gt;C9,0,SUM(C208:C219)*($C$6/$C$7))</f>
        <v>0</v>
      </c>
      <c r="C29" s="158">
        <f>IF(A29&gt;C9,0,(E207+K207)*$C$8)</f>
        <v>0</v>
      </c>
      <c r="D29" s="3217">
        <f t="shared" si="0"/>
        <v>0</v>
      </c>
      <c r="E29" s="3217"/>
      <c r="F29" s="162"/>
      <c r="G29" s="162"/>
      <c r="H29" s="162"/>
    </row>
    <row r="30" spans="1:8" ht="12.6" customHeight="1">
      <c r="A30" s="60">
        <v>14</v>
      </c>
      <c r="B30" s="155">
        <f>IF(A30&gt;C9,0,SUM(C220:C231)*($C$6/$C$7))</f>
        <v>0</v>
      </c>
      <c r="C30" s="158">
        <f>IF(A30&gt;C9,0,(E219+K219)*$C$8)</f>
        <v>0</v>
      </c>
      <c r="D30" s="3217">
        <f t="shared" si="0"/>
        <v>0</v>
      </c>
      <c r="E30" s="3217"/>
      <c r="F30" s="162"/>
      <c r="G30" s="162"/>
      <c r="H30" s="162"/>
    </row>
    <row r="31" spans="1:8" ht="12.6" customHeight="1">
      <c r="A31" s="60">
        <v>15</v>
      </c>
      <c r="B31" s="155">
        <f>IF(A31&gt;C9,0,SUM(C232:C243)*($C$6/$C$7))</f>
        <v>0</v>
      </c>
      <c r="C31" s="158">
        <f>IF(A31&gt;C9,0,(E231+K231)*$C$8)</f>
        <v>0</v>
      </c>
      <c r="D31" s="3218">
        <f t="shared" si="0"/>
        <v>0</v>
      </c>
      <c r="E31" s="3218"/>
      <c r="F31" s="162"/>
      <c r="G31" s="162"/>
      <c r="H31" s="162"/>
    </row>
    <row r="32" spans="1:8" ht="12.6" customHeight="1">
      <c r="A32" s="156">
        <v>16</v>
      </c>
      <c r="B32" s="157">
        <f>IF(A32&gt;C9,0,SUM(C244:C255)*($C$6/$C$7))</f>
        <v>0</v>
      </c>
      <c r="C32" s="173">
        <f>IF(A32&gt;C9,0,(E243+K243)*$C$8)</f>
        <v>0</v>
      </c>
      <c r="D32" s="3217">
        <f t="shared" si="0"/>
        <v>0</v>
      </c>
      <c r="E32" s="3217"/>
      <c r="F32" s="162"/>
      <c r="G32" s="162"/>
      <c r="H32" s="162"/>
    </row>
    <row r="33" spans="1:8" ht="12.6" customHeight="1">
      <c r="A33" s="60">
        <v>17</v>
      </c>
      <c r="B33" s="155">
        <f>IF(A33&gt;C9,0,SUM(C256:C267)*($C$6/$C$7))</f>
        <v>0</v>
      </c>
      <c r="C33" s="158">
        <f>IF(A33&gt;C9,0,(E255+K255)*$C$8)</f>
        <v>0</v>
      </c>
      <c r="D33" s="3217">
        <f t="shared" si="0"/>
        <v>0</v>
      </c>
      <c r="E33" s="3217"/>
      <c r="F33" s="162"/>
      <c r="G33" s="162"/>
      <c r="H33" s="162"/>
    </row>
    <row r="34" spans="1:8" ht="12.6" customHeight="1">
      <c r="A34" s="60">
        <v>18</v>
      </c>
      <c r="B34" s="155">
        <f>IF(A34&gt;C9,0,SUM(C268:C279)*($C$6/$C$7))</f>
        <v>0</v>
      </c>
      <c r="C34" s="158">
        <f>IF(A34&gt;C9,0,(E267+K267)*$C$8)</f>
        <v>0</v>
      </c>
      <c r="D34" s="3217">
        <f t="shared" si="0"/>
        <v>0</v>
      </c>
      <c r="E34" s="3217"/>
      <c r="F34" s="162"/>
      <c r="G34" s="162"/>
      <c r="H34" s="162"/>
    </row>
    <row r="35" spans="1:8" ht="12.6" customHeight="1">
      <c r="A35" s="60">
        <v>19</v>
      </c>
      <c r="B35" s="155">
        <f>IF(A35&gt;C9,0,SUM(C280:C291)*($C$6/$C$7))</f>
        <v>0</v>
      </c>
      <c r="C35" s="158">
        <f>IF(A35&gt;C9,0,(E279+K279)*$C$8)</f>
        <v>0</v>
      </c>
      <c r="D35" s="3217">
        <f t="shared" si="0"/>
        <v>0</v>
      </c>
      <c r="E35" s="3217"/>
      <c r="F35" s="162"/>
      <c r="G35" s="162"/>
      <c r="H35" s="162"/>
    </row>
    <row r="36" spans="1:8" ht="12.6" customHeight="1">
      <c r="A36" s="159">
        <v>20</v>
      </c>
      <c r="B36" s="160">
        <f>IF(A36&gt;C9,0,SUM(C292:C303)*($C$6/$C$7))</f>
        <v>0</v>
      </c>
      <c r="C36" s="172">
        <f>IF(A36&gt;C9,0,(E291+K291)*$C$8)</f>
        <v>0</v>
      </c>
      <c r="D36" s="3218">
        <f t="shared" si="0"/>
        <v>0</v>
      </c>
      <c r="E36" s="3218"/>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7">
        <f t="shared" si="0"/>
        <v>0</v>
      </c>
      <c r="E38" s="3217"/>
      <c r="F38" s="162"/>
      <c r="G38" s="162"/>
      <c r="H38" s="162"/>
    </row>
    <row r="39" spans="1:8" ht="12.6" customHeight="1">
      <c r="A39" s="60">
        <v>23</v>
      </c>
      <c r="B39" s="155">
        <f>IF(A39&gt;C9,0,SUM(C295:C306)*($C$6/$C$7))</f>
        <v>0</v>
      </c>
      <c r="C39" s="158">
        <f>IF(A39&gt;C9,0,(E327+K327)*$C$8)</f>
        <v>0</v>
      </c>
      <c r="D39" s="3217">
        <f t="shared" si="0"/>
        <v>0</v>
      </c>
      <c r="E39" s="3217"/>
      <c r="F39" s="162"/>
      <c r="G39" s="162"/>
      <c r="H39" s="162"/>
    </row>
    <row r="40" spans="1:8" ht="12.6" customHeight="1">
      <c r="A40" s="60">
        <v>24</v>
      </c>
      <c r="B40" s="155">
        <f>IF(A40&gt;C9,0,SUM(C296:C307)*($C$6/$C$7))</f>
        <v>0</v>
      </c>
      <c r="C40" s="158">
        <f>IF(A40&gt;C9,0,(E339+K339)*$C$8)</f>
        <v>0</v>
      </c>
      <c r="D40" s="3217">
        <f t="shared" si="0"/>
        <v>0</v>
      </c>
      <c r="E40" s="3217"/>
      <c r="F40" s="162"/>
      <c r="G40" s="162"/>
      <c r="H40" s="162"/>
    </row>
    <row r="41" spans="1:8" ht="12.6" customHeight="1">
      <c r="A41" s="60">
        <v>25</v>
      </c>
      <c r="B41" s="160">
        <f>IF(A41&gt;C9,0,SUM(C297:C308)*($C$6/$C$7))</f>
        <v>0</v>
      </c>
      <c r="C41" s="172">
        <f>IF(A41&gt;C9,0,(E351+K351)*$C$8)</f>
        <v>0</v>
      </c>
      <c r="D41" s="3218">
        <f t="shared" si="0"/>
        <v>0</v>
      </c>
      <c r="E41" s="3218"/>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7">
        <f t="shared" si="0"/>
        <v>0</v>
      </c>
      <c r="E43" s="3217"/>
      <c r="F43" s="162"/>
      <c r="G43" s="162"/>
      <c r="H43" s="162"/>
    </row>
    <row r="44" spans="1:8" ht="12.6" customHeight="1">
      <c r="A44" s="60">
        <v>28</v>
      </c>
      <c r="B44" s="155">
        <f>IF(A44&gt;C9,0,SUM(C300:C311)*($C$6/$C$7))</f>
        <v>0</v>
      </c>
      <c r="C44" s="158">
        <f>IF(A44&gt;C9,0,(E387+K387)*$C$8)</f>
        <v>0</v>
      </c>
      <c r="D44" s="3217">
        <f t="shared" si="0"/>
        <v>0</v>
      </c>
      <c r="E44" s="3217"/>
      <c r="F44" s="162"/>
      <c r="G44" s="162"/>
      <c r="H44" s="162"/>
    </row>
    <row r="45" spans="1:8" ht="12.6" customHeight="1">
      <c r="A45" s="60">
        <v>29</v>
      </c>
      <c r="B45" s="155">
        <f>IF(A45&gt;C9,0,SUM(C301:C312)*($C$6/$C$7))</f>
        <v>0</v>
      </c>
      <c r="C45" s="158">
        <f>IF(A45&gt;C9,0,(E411+K411)*$C$8)</f>
        <v>0</v>
      </c>
      <c r="D45" s="3217">
        <f t="shared" si="0"/>
        <v>0</v>
      </c>
      <c r="E45" s="3217"/>
      <c r="F45" s="162"/>
      <c r="G45" s="162"/>
      <c r="H45" s="162"/>
    </row>
    <row r="46" spans="1:8" ht="12.6" customHeight="1">
      <c r="A46" s="159">
        <v>30</v>
      </c>
      <c r="B46" s="160">
        <f>IF(A46&gt;C9,0,SUM(C302:C313)*($C$6/$C$7))</f>
        <v>0</v>
      </c>
      <c r="C46" s="172">
        <f>IF(A46&gt;C9,0,(E423+K423)*$C$8)</f>
        <v>0</v>
      </c>
      <c r="D46" s="3218">
        <f t="shared" si="0"/>
        <v>0</v>
      </c>
      <c r="E46" s="3218"/>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7">
        <f t="shared" si="0"/>
        <v>0</v>
      </c>
      <c r="E48" s="3217"/>
      <c r="F48" s="162"/>
      <c r="G48" s="162"/>
      <c r="H48" s="162"/>
    </row>
    <row r="49" spans="1:12" ht="12.6" customHeight="1">
      <c r="A49" s="60">
        <v>33</v>
      </c>
      <c r="B49" s="155">
        <f>IF(A49&gt;C9,0,SUM(C305:C316)*($C$6/$C$7))</f>
        <v>0</v>
      </c>
      <c r="C49" s="158">
        <f>IF(A49&gt;C9,0,(E459+K459)*$C$8)</f>
        <v>0</v>
      </c>
      <c r="D49" s="3217">
        <f t="shared" si="0"/>
        <v>0</v>
      </c>
      <c r="E49" s="3217"/>
      <c r="F49" s="162"/>
      <c r="G49" s="162"/>
      <c r="H49" s="162"/>
    </row>
    <row r="50" spans="1:12" ht="12.6" customHeight="1">
      <c r="A50" s="60">
        <v>34</v>
      </c>
      <c r="B50" s="155">
        <f>IF(A50&gt;C9,0,SUM(C306:C317)*($C$6/$C$7))</f>
        <v>0</v>
      </c>
      <c r="C50" s="158">
        <f>IF(A50&gt;C9,0,(E471+K471)*$C$8)</f>
        <v>0</v>
      </c>
      <c r="D50" s="3217">
        <f t="shared" si="0"/>
        <v>0</v>
      </c>
      <c r="E50" s="3217"/>
      <c r="F50" s="162"/>
      <c r="G50" s="162"/>
      <c r="H50" s="162"/>
    </row>
    <row r="51" spans="1:12" ht="12.6" customHeight="1">
      <c r="A51" s="159">
        <v>35</v>
      </c>
      <c r="B51" s="160">
        <f>IF(A51&gt;C9,0,SUM(C307:C318)*($C$6/$C$7))</f>
        <v>0</v>
      </c>
      <c r="C51" s="172">
        <f>IF(A51&gt;C9,0,(E483+K483)*$C$8)</f>
        <v>0</v>
      </c>
      <c r="D51" s="3218">
        <f t="shared" si="0"/>
        <v>0</v>
      </c>
      <c r="E51" s="3218"/>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7">
        <f t="shared" si="0"/>
        <v>0</v>
      </c>
      <c r="E53" s="3217"/>
      <c r="F53" s="162"/>
      <c r="G53" s="162"/>
      <c r="H53" s="162"/>
    </row>
    <row r="54" spans="1:12" ht="12.6" customHeight="1">
      <c r="A54" s="60">
        <v>38</v>
      </c>
      <c r="B54" s="155">
        <f>IF(A54&gt;C9,0,SUM(C310:C321)*($C$6/$C$7))</f>
        <v>0</v>
      </c>
      <c r="C54" s="158">
        <f>IF(A54&gt;C9,0,(E519+K519)*$C$8)</f>
        <v>0</v>
      </c>
      <c r="D54" s="3217">
        <f t="shared" si="0"/>
        <v>0</v>
      </c>
      <c r="E54" s="3217"/>
      <c r="F54" s="162"/>
      <c r="G54" s="162"/>
      <c r="H54" s="162"/>
    </row>
    <row r="55" spans="1:12" ht="12.6" customHeight="1">
      <c r="A55" s="60">
        <v>39</v>
      </c>
      <c r="B55" s="155">
        <f>IF(A55&gt;C9,0,SUM(C311:C322)*($C$6/$C$7))</f>
        <v>0</v>
      </c>
      <c r="C55" s="158">
        <f>IF(A55&gt;C9,0,(E531+K531)*$C$8)</f>
        <v>0</v>
      </c>
      <c r="D55" s="3217">
        <f t="shared" si="0"/>
        <v>0</v>
      </c>
      <c r="E55" s="3217"/>
      <c r="F55" s="162"/>
      <c r="G55" s="162"/>
      <c r="H55" s="162"/>
    </row>
    <row r="56" spans="1:12" ht="12.6" customHeight="1">
      <c r="A56" s="159">
        <v>40</v>
      </c>
      <c r="B56" s="160">
        <f>IF(A56&gt;C9,0,SUM(C312:C323)*($C$6/$C$7))</f>
        <v>0</v>
      </c>
      <c r="C56" s="172">
        <f>IF(A56&gt;C9,0,(E543+K543)*$C$8)</f>
        <v>0</v>
      </c>
      <c r="D56" s="3218">
        <f t="shared" si="0"/>
        <v>0</v>
      </c>
      <c r="E56" s="3218"/>
      <c r="F56" s="162"/>
      <c r="G56" s="162"/>
      <c r="H56" s="162"/>
    </row>
    <row r="57" spans="1:12" ht="3" customHeight="1">
      <c r="A57" s="162"/>
      <c r="B57" s="162"/>
      <c r="C57" s="162"/>
      <c r="D57" s="162"/>
      <c r="E57" s="162"/>
      <c r="F57" s="162"/>
      <c r="G57" s="162"/>
      <c r="H57" s="162"/>
    </row>
    <row r="58" spans="1:12" ht="13.35" customHeight="1">
      <c r="A58" s="3221" t="e">
        <f>CONCATENATE(#REF!," ",#REF!,", ",#REF!,", ",#REF!," County")</f>
        <v>#REF!</v>
      </c>
      <c r="B58" s="3221"/>
      <c r="C58" s="3221"/>
      <c r="D58" s="3221"/>
      <c r="E58" s="3221"/>
      <c r="F58" s="3221"/>
      <c r="G58" s="3221" t="e">
        <f>CONCATENATE(#REF!," ",#REF!,", ",#REF!,", ",#REF!," County")</f>
        <v>#REF!</v>
      </c>
      <c r="H58" s="3221"/>
      <c r="I58" s="3221"/>
      <c r="J58" s="3221"/>
      <c r="K58" s="3221"/>
      <c r="L58" s="3221"/>
    </row>
    <row r="59" spans="1:12" ht="15">
      <c r="A59" s="3222" t="s">
        <v>2269</v>
      </c>
      <c r="B59" s="3222"/>
      <c r="C59" s="3222"/>
      <c r="D59" s="3222"/>
      <c r="E59" s="3222"/>
      <c r="F59" s="3222"/>
      <c r="G59" s="3222" t="s">
        <v>2269</v>
      </c>
      <c r="H59" s="3222"/>
      <c r="I59" s="3222"/>
      <c r="J59" s="3222"/>
      <c r="K59" s="3222"/>
      <c r="L59" s="3222"/>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4" t="e">
        <f>CONCATENATE("PART III C  - HUD INSURED LOAN","  -  ",#REF!," ",#REF!,", ",#REF!,", ",#REF!," County")</f>
        <v>#REF!</v>
      </c>
      <c r="B1" s="3215"/>
      <c r="C1" s="3215"/>
      <c r="D1" s="3215"/>
      <c r="E1" s="3215"/>
      <c r="F1" s="3216"/>
      <c r="G1" s="139"/>
      <c r="H1" s="139"/>
      <c r="I1" s="139"/>
      <c r="J1" s="139"/>
      <c r="K1" s="139"/>
      <c r="L1" s="139"/>
      <c r="M1" s="139"/>
      <c r="N1" s="139"/>
      <c r="O1" s="139"/>
      <c r="P1" s="139"/>
      <c r="Q1" s="139"/>
    </row>
    <row r="2" spans="1:17">
      <c r="A2" s="10"/>
    </row>
    <row r="3" spans="1:17" ht="15.6" customHeight="1">
      <c r="A3" s="3222" t="s">
        <v>210</v>
      </c>
      <c r="B3" s="3222"/>
      <c r="C3" s="3222"/>
      <c r="D3" s="3222"/>
      <c r="E3" s="3222"/>
      <c r="F3" s="3222"/>
      <c r="G3" s="189"/>
      <c r="H3" s="189"/>
    </row>
    <row r="4" spans="1:17">
      <c r="A4" s="10"/>
    </row>
    <row r="5" spans="1:17" ht="13.35" customHeight="1">
      <c r="A5" t="s">
        <v>2078</v>
      </c>
      <c r="D5" s="183"/>
      <c r="E5" s="3225" t="s">
        <v>894</v>
      </c>
      <c r="F5" s="3226"/>
      <c r="G5" s="126"/>
    </row>
    <row r="6" spans="1:17">
      <c r="E6" s="3226"/>
      <c r="F6" s="3226"/>
      <c r="G6" s="126"/>
    </row>
    <row r="7" spans="1:17">
      <c r="A7" t="s">
        <v>2261</v>
      </c>
      <c r="C7" t="s">
        <v>2262</v>
      </c>
      <c r="D7" s="184"/>
      <c r="E7" s="3226"/>
      <c r="F7" s="3226"/>
      <c r="G7" s="126"/>
    </row>
    <row r="8" spans="1:17">
      <c r="C8" t="s">
        <v>2263</v>
      </c>
      <c r="D8" s="184"/>
      <c r="E8" s="3226"/>
      <c r="F8" s="3226"/>
      <c r="G8" s="126"/>
    </row>
    <row r="9" spans="1:17">
      <c r="C9" t="s">
        <v>2264</v>
      </c>
      <c r="D9" s="184"/>
      <c r="E9" s="3226"/>
      <c r="F9" s="3226"/>
      <c r="G9" s="126"/>
    </row>
    <row r="10" spans="1:17">
      <c r="C10" t="s">
        <v>2277</v>
      </c>
      <c r="D10" s="190">
        <f>D7+D8+D9</f>
        <v>0</v>
      </c>
      <c r="E10" s="3226"/>
      <c r="F10" s="3226"/>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3" t="s">
        <v>1594</v>
      </c>
      <c r="B24" s="3223"/>
      <c r="C24" s="3223"/>
      <c r="D24" s="3223"/>
      <c r="E24" s="3223"/>
      <c r="F24" s="3223"/>
      <c r="J24" s="192"/>
    </row>
    <row r="25" spans="1:10">
      <c r="C25" s="161"/>
      <c r="J25" s="192"/>
    </row>
    <row r="26" spans="1:10">
      <c r="A26" s="82"/>
      <c r="B26" s="60"/>
      <c r="C26" s="3227" t="s">
        <v>2077</v>
      </c>
      <c r="D26" s="188"/>
      <c r="E26" s="60"/>
      <c r="F26" s="3227" t="s">
        <v>2077</v>
      </c>
      <c r="J26" s="192"/>
    </row>
    <row r="27" spans="1:10">
      <c r="A27" s="193" t="s">
        <v>2278</v>
      </c>
      <c r="B27" s="24" t="s">
        <v>961</v>
      </c>
      <c r="C27" s="3228"/>
      <c r="D27" s="194" t="s">
        <v>2278</v>
      </c>
      <c r="E27" s="24" t="s">
        <v>961</v>
      </c>
      <c r="F27" s="322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1" t="e">
        <f>CONCATENATE(#REF!," ",#REF!,", ",#REF!,", ",#REF!," County")</f>
        <v>#REF!</v>
      </c>
      <c r="B50" s="3221"/>
      <c r="C50" s="3221"/>
      <c r="D50" s="3221"/>
      <c r="E50" s="3221"/>
      <c r="F50" s="3221"/>
      <c r="G50" s="41"/>
      <c r="H50" s="41"/>
    </row>
    <row r="51" spans="1:10" ht="15">
      <c r="A51" s="3222" t="s">
        <v>2269</v>
      </c>
      <c r="B51" s="3222"/>
      <c r="C51" s="3222"/>
      <c r="D51" s="3222"/>
      <c r="E51" s="3222"/>
      <c r="F51" s="3222"/>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dimension ref="A1:BA246"/>
  <sheetViews>
    <sheetView showGridLines="0" view="pageBreakPreview" topLeftCell="A151" zoomScale="60" zoomScaleNormal="120" workbookViewId="0">
      <selection activeCell="O29" sqref="O29:P2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0"/>
    <col min="54" max="16384" width="9.28515625" style="145"/>
  </cols>
  <sheetData>
    <row r="1" spans="1:53" s="1650" customFormat="1" ht="13.5" hidden="1" customHeight="1">
      <c r="G1" s="1650" t="s">
        <v>4232</v>
      </c>
      <c r="J1" s="1650" t="s">
        <v>4233</v>
      </c>
      <c r="M1" s="1650" t="s">
        <v>4234</v>
      </c>
      <c r="N1" s="1650" t="s">
        <v>4235</v>
      </c>
      <c r="P1" s="1650" t="s">
        <v>4236</v>
      </c>
      <c r="Q1" s="1650" t="s">
        <v>4237</v>
      </c>
      <c r="S1" s="1650" t="s">
        <v>4238</v>
      </c>
      <c r="BA1" s="1617">
        <v>1</v>
      </c>
    </row>
    <row r="2" spans="1:53" s="144" customFormat="1" ht="13.5" customHeight="1">
      <c r="A2" s="3229" t="str">
        <f>CONCATENATE("PART THREE (A):  USES OF FUNDS","  -  ",'Part I-Project Identification'!$O$7," ",'Part I-Project Identification'!$F$26,", ",'Part I-Project Identification'!F27,", ",'Part I-Project Identification'!J27," County")</f>
        <v>PART THREE (A):  USES OF FUNDS  -  2024-0 Redland Trace, Lawrenceville, Gwinnett County</v>
      </c>
      <c r="B2" s="3230"/>
      <c r="C2" s="3230"/>
      <c r="D2" s="3230"/>
      <c r="E2" s="3230"/>
      <c r="F2" s="3230"/>
      <c r="G2" s="3230"/>
      <c r="H2" s="3230"/>
      <c r="I2" s="3230"/>
      <c r="J2" s="3230"/>
      <c r="K2" s="3230"/>
      <c r="L2" s="3230"/>
      <c r="M2" s="3230"/>
      <c r="N2" s="3230"/>
      <c r="O2" s="3230"/>
      <c r="P2" s="3230"/>
      <c r="Q2" s="3230"/>
      <c r="R2" s="3230"/>
      <c r="S2" s="3230"/>
      <c r="T2" s="3230"/>
      <c r="W2" s="3231" t="str">
        <f>A2</f>
        <v>PART THREE (A):  USES OF FUNDS  -  2024-0 Redland Trace, Lawrenceville, Gwinnett County</v>
      </c>
      <c r="X2" s="3231"/>
      <c r="AZ2" s="1654"/>
      <c r="BA2" s="1617">
        <v>2</v>
      </c>
    </row>
    <row r="3" spans="1:53" ht="2.25" customHeight="1">
      <c r="BA3" s="1617">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4"/>
      <c r="BA4" s="1617">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4"/>
      <c r="BA5" s="1617">
        <v>5</v>
      </c>
    </row>
    <row r="6" spans="1:53" s="144" customFormat="1" ht="19.5" customHeight="1" thickBot="1">
      <c r="A6" s="342" t="s">
        <v>572</v>
      </c>
      <c r="B6" s="342" t="s">
        <v>841</v>
      </c>
      <c r="D6" s="3232" t="str">
        <f>'Part I-Project Identification'!$A$6</f>
        <v>2024 May 7</v>
      </c>
      <c r="E6" s="3232"/>
      <c r="F6" s="3232"/>
      <c r="G6" s="3232"/>
      <c r="H6" s="3232"/>
      <c r="I6" s="375"/>
      <c r="J6" s="3233" t="s">
        <v>259</v>
      </c>
      <c r="K6" s="3234"/>
      <c r="L6" s="280"/>
      <c r="M6" s="3237" t="s">
        <v>459</v>
      </c>
      <c r="N6" s="3238"/>
      <c r="P6" s="3233" t="s">
        <v>260</v>
      </c>
      <c r="Q6" s="3234"/>
      <c r="S6" s="3233" t="s">
        <v>261</v>
      </c>
      <c r="T6" s="3234"/>
      <c r="V6" s="343" t="str">
        <f>B6</f>
        <v>DEVELOPMENT BUDGET</v>
      </c>
      <c r="AZ6" s="1654"/>
      <c r="BA6" s="1617">
        <v>6</v>
      </c>
    </row>
    <row r="7" spans="1:53" s="144" customFormat="1" ht="19.5" customHeight="1" thickBot="1">
      <c r="D7" s="1168"/>
      <c r="E7" s="1168"/>
      <c r="F7" s="1168"/>
      <c r="G7" s="3241" t="s">
        <v>95</v>
      </c>
      <c r="H7" s="3242"/>
      <c r="J7" s="3235"/>
      <c r="K7" s="3236"/>
      <c r="L7" s="280"/>
      <c r="M7" s="3239"/>
      <c r="N7" s="3240"/>
      <c r="P7" s="3235"/>
      <c r="Q7" s="3236"/>
      <c r="S7" s="3235"/>
      <c r="T7" s="3236"/>
      <c r="V7" s="253" t="s">
        <v>2441</v>
      </c>
      <c r="X7" s="253"/>
      <c r="AZ7" s="1654"/>
      <c r="BA7" s="1617">
        <v>7</v>
      </c>
    </row>
    <row r="8" spans="1:53" s="144" customFormat="1" ht="12" customHeight="1">
      <c r="B8" s="243" t="s">
        <v>96</v>
      </c>
      <c r="O8" s="374" t="str">
        <f>B8</f>
        <v>PRE-DEVELOPMENT COSTS</v>
      </c>
      <c r="W8" s="144" t="str">
        <f>B8</f>
        <v>PRE-DEVELOPMENT COSTS</v>
      </c>
      <c r="AZ8" s="1654"/>
      <c r="BA8" s="1617">
        <v>8</v>
      </c>
    </row>
    <row r="9" spans="1:53" s="144" customFormat="1" ht="11.25" customHeight="1">
      <c r="B9" s="144" t="s">
        <v>1850</v>
      </c>
      <c r="G9" s="3141">
        <v>4500</v>
      </c>
      <c r="H9" s="3142"/>
      <c r="J9" s="3141">
        <f>G9</f>
        <v>4500</v>
      </c>
      <c r="K9" s="3142"/>
      <c r="L9" s="815"/>
      <c r="M9" s="3141"/>
      <c r="N9" s="3142"/>
      <c r="P9" s="3141"/>
      <c r="Q9" s="3142"/>
      <c r="S9" s="3141"/>
      <c r="T9" s="3142"/>
      <c r="V9" s="836"/>
      <c r="W9" s="3243"/>
      <c r="X9" s="3244"/>
      <c r="AZ9" s="1654"/>
      <c r="BA9" s="1617">
        <v>9</v>
      </c>
    </row>
    <row r="10" spans="1:53" s="144" customFormat="1" ht="11.25" customHeight="1">
      <c r="B10" s="144" t="s">
        <v>430</v>
      </c>
      <c r="G10" s="3116">
        <v>9000</v>
      </c>
      <c r="H10" s="3117"/>
      <c r="J10" s="3116">
        <f>G10</f>
        <v>9000</v>
      </c>
      <c r="K10" s="3117"/>
      <c r="L10" s="815"/>
      <c r="M10" s="3116"/>
      <c r="N10" s="3117"/>
      <c r="P10" s="3116"/>
      <c r="Q10" s="3117"/>
      <c r="S10" s="3116"/>
      <c r="T10" s="3117"/>
      <c r="V10" s="836"/>
      <c r="W10" s="3243"/>
      <c r="X10" s="3244"/>
      <c r="AZ10" s="1654"/>
      <c r="BA10" s="1617">
        <v>10</v>
      </c>
    </row>
    <row r="11" spans="1:53" s="144" customFormat="1" ht="11.25" customHeight="1">
      <c r="B11" s="144" t="s">
        <v>457</v>
      </c>
      <c r="G11" s="3116">
        <v>50000</v>
      </c>
      <c r="H11" s="3117"/>
      <c r="J11" s="3116">
        <v>50000</v>
      </c>
      <c r="K11" s="3117"/>
      <c r="L11" s="815"/>
      <c r="M11" s="3116"/>
      <c r="N11" s="3117"/>
      <c r="P11" s="3116"/>
      <c r="Q11" s="3117"/>
      <c r="S11" s="3116"/>
      <c r="T11" s="3117"/>
      <c r="V11" s="836"/>
      <c r="W11" s="3243"/>
      <c r="X11" s="3244"/>
      <c r="AZ11" s="1654"/>
      <c r="BA11" s="1617">
        <v>11</v>
      </c>
    </row>
    <row r="12" spans="1:53" s="144" customFormat="1" ht="11.25" customHeight="1">
      <c r="B12" s="144" t="s">
        <v>458</v>
      </c>
      <c r="G12" s="3116">
        <v>15000</v>
      </c>
      <c r="H12" s="3117"/>
      <c r="J12" s="3116">
        <f>G12</f>
        <v>15000</v>
      </c>
      <c r="K12" s="3117"/>
      <c r="L12" s="815"/>
      <c r="M12" s="3116"/>
      <c r="N12" s="3117"/>
      <c r="P12" s="3116"/>
      <c r="Q12" s="3117"/>
      <c r="S12" s="3116"/>
      <c r="T12" s="3117"/>
      <c r="V12" s="836"/>
      <c r="W12" s="3243"/>
      <c r="X12" s="3244"/>
      <c r="AZ12" s="1654"/>
      <c r="BA12" s="1617">
        <v>12</v>
      </c>
    </row>
    <row r="13" spans="1:53" s="144" customFormat="1" ht="11.25" customHeight="1">
      <c r="B13" s="144" t="s">
        <v>2295</v>
      </c>
      <c r="G13" s="3116"/>
      <c r="H13" s="3117"/>
      <c r="J13" s="3116"/>
      <c r="K13" s="3117"/>
      <c r="L13" s="815"/>
      <c r="M13" s="3116"/>
      <c r="N13" s="3117"/>
      <c r="P13" s="3116"/>
      <c r="Q13" s="3117"/>
      <c r="S13" s="3116"/>
      <c r="T13" s="3117"/>
      <c r="V13" s="836"/>
      <c r="W13" s="3243"/>
      <c r="X13" s="3244"/>
      <c r="AZ13" s="1654"/>
      <c r="BA13" s="1617">
        <v>13</v>
      </c>
    </row>
    <row r="14" spans="1:53" s="144" customFormat="1" ht="11.25" customHeight="1">
      <c r="B14" s="144" t="s">
        <v>183</v>
      </c>
      <c r="G14" s="3116"/>
      <c r="H14" s="3117"/>
      <c r="J14" s="3116"/>
      <c r="K14" s="3117"/>
      <c r="L14" s="815"/>
      <c r="M14" s="3116"/>
      <c r="N14" s="3117"/>
      <c r="P14" s="3116"/>
      <c r="Q14" s="3117"/>
      <c r="S14" s="3116"/>
      <c r="T14" s="3117"/>
      <c r="V14" s="836"/>
      <c r="W14" s="3243"/>
      <c r="X14" s="3244"/>
      <c r="AZ14" s="1654"/>
      <c r="BA14" s="1617">
        <v>14</v>
      </c>
    </row>
    <row r="15" spans="1:53" s="144" customFormat="1" ht="11.25" customHeight="1">
      <c r="A15" s="303" t="str">
        <f>IF(AND(G15&gt;0,OR(C15="",C15="&lt;Enter detailed description here; use Comments section if needed&gt;")),"X","")</f>
        <v/>
      </c>
      <c r="B15" s="147" t="s">
        <v>4170</v>
      </c>
      <c r="C15" s="3245"/>
      <c r="D15" s="3245"/>
      <c r="E15" s="3245"/>
      <c r="F15" s="3246"/>
      <c r="G15" s="3116"/>
      <c r="H15" s="3117"/>
      <c r="J15" s="3116"/>
      <c r="K15" s="3117"/>
      <c r="L15" s="815"/>
      <c r="M15" s="3116"/>
      <c r="N15" s="3117"/>
      <c r="P15" s="3116"/>
      <c r="Q15" s="3117"/>
      <c r="S15" s="3116"/>
      <c r="T15" s="3117"/>
      <c r="U15" s="302" t="str">
        <f>IF(AND(G15&gt;0,OR(C15="",C15="&lt;Enter detailed description here; use Comments section if needed&gt;")),"NO DESCRIPTION PROVIDED - please enter detailed description in Other box at left; use Comments section below if needed.","")</f>
        <v/>
      </c>
      <c r="V15" s="837"/>
      <c r="W15" s="3243"/>
      <c r="X15" s="3244"/>
      <c r="AZ15" s="1654" t="s">
        <v>4264</v>
      </c>
      <c r="BA15" s="1617">
        <v>15</v>
      </c>
    </row>
    <row r="16" spans="1:53" s="144" customFormat="1" ht="11.25" customHeight="1">
      <c r="A16" s="303" t="str">
        <f>IF(AND(G16&gt;0,OR(C16="",C16="&lt;Enter detailed description here; use Comments section if needed&gt;")),"X","")</f>
        <v/>
      </c>
      <c r="B16" s="147" t="s">
        <v>4171</v>
      </c>
      <c r="C16" s="3245" t="s">
        <v>4616</v>
      </c>
      <c r="D16" s="3245"/>
      <c r="E16" s="3245"/>
      <c r="F16" s="3246"/>
      <c r="G16" s="3116"/>
      <c r="H16" s="3117"/>
      <c r="J16" s="3116"/>
      <c r="K16" s="3117"/>
      <c r="L16" s="815"/>
      <c r="M16" s="3116"/>
      <c r="N16" s="3117"/>
      <c r="P16" s="3116"/>
      <c r="Q16" s="3117"/>
      <c r="S16" s="3116"/>
      <c r="T16" s="3117"/>
      <c r="U16" s="302" t="str">
        <f>IF(AND(G16&gt;0,OR(C16="",C16="&lt;Enter detailed description here; use Comments section if needed&gt;")),"NO DESCRIPTION PROVIDED - please enter detailed description in Other box at left; use Comments section below if needed.","")</f>
        <v/>
      </c>
      <c r="V16" s="837"/>
      <c r="W16" s="3243"/>
      <c r="X16" s="3244"/>
      <c r="AZ16" s="1654" t="s">
        <v>4265</v>
      </c>
      <c r="BA16" s="1617">
        <v>16</v>
      </c>
    </row>
    <row r="17" spans="1:53" s="144" customFormat="1" ht="11.25" customHeight="1" thickBot="1">
      <c r="A17" s="303" t="str">
        <f>IF(AND(G17&gt;0,OR(C17="",C17="&lt;Enter detailed description here; use Comments section if needed&gt;")),"X","")</f>
        <v/>
      </c>
      <c r="B17" s="147" t="s">
        <v>4172</v>
      </c>
      <c r="C17" s="3245" t="s">
        <v>4616</v>
      </c>
      <c r="D17" s="3245"/>
      <c r="E17" s="3245"/>
      <c r="F17" s="3246"/>
      <c r="G17" s="3253"/>
      <c r="H17" s="3254"/>
      <c r="J17" s="3253"/>
      <c r="K17" s="3254"/>
      <c r="L17" s="815"/>
      <c r="M17" s="3253"/>
      <c r="N17" s="3254"/>
      <c r="P17" s="3253"/>
      <c r="Q17" s="3254"/>
      <c r="S17" s="3253"/>
      <c r="T17" s="3254"/>
      <c r="U17" s="302" t="str">
        <f>IF(AND(G17&gt;0,OR(C17="",C17="&lt;Enter detailed description here; use Comments section if needed&gt;")),"NO DESCRIPTION PROVIDED - please enter detailed description in Other box at left; use Comments section below if needed.","")</f>
        <v/>
      </c>
      <c r="V17" s="837"/>
      <c r="W17" s="3247"/>
      <c r="X17" s="3248"/>
      <c r="AZ17" s="1654" t="s">
        <v>4266</v>
      </c>
      <c r="BA17" s="1617">
        <v>17</v>
      </c>
    </row>
    <row r="18" spans="1:53" s="144" customFormat="1" ht="12.6" customHeight="1" thickTop="1">
      <c r="F18" s="281" t="s">
        <v>184</v>
      </c>
      <c r="G18" s="3249">
        <f>SUM(G9:G17)</f>
        <v>78500</v>
      </c>
      <c r="H18" s="3250"/>
      <c r="J18" s="3249">
        <f>SUM(J9:J17)</f>
        <v>78500</v>
      </c>
      <c r="K18" s="3250"/>
      <c r="L18" s="815"/>
      <c r="M18" s="3249">
        <f>SUM(M9:M17)</f>
        <v>0</v>
      </c>
      <c r="N18" s="3250"/>
      <c r="P18" s="3249">
        <f>SUM(P9:P17)</f>
        <v>0</v>
      </c>
      <c r="Q18" s="3250"/>
      <c r="S18" s="3249">
        <f>SUM(S9:S17)</f>
        <v>0</v>
      </c>
      <c r="T18" s="3250"/>
      <c r="V18" s="838">
        <f>SUM(V9:V17)</f>
        <v>0</v>
      </c>
      <c r="W18" s="3251"/>
      <c r="X18" s="3252"/>
      <c r="AZ18" s="1654" t="s">
        <v>4267</v>
      </c>
      <c r="BA18" s="1617">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4"/>
      <c r="BA19" s="1617">
        <v>19</v>
      </c>
    </row>
    <row r="20" spans="1:53" s="144" customFormat="1" ht="11.25" customHeight="1">
      <c r="B20" s="144" t="s">
        <v>2033</v>
      </c>
      <c r="E20" s="646" t="s">
        <v>3136</v>
      </c>
      <c r="F20" s="1809">
        <f>IF('Part I-Project Identification'!$O$28="","",G20/'Part I-Project Identification'!$O$28)</f>
        <v>240384.61538461538</v>
      </c>
      <c r="G20" s="3141">
        <v>2000000</v>
      </c>
      <c r="H20" s="3142"/>
      <c r="J20" s="283"/>
      <c r="K20" s="280"/>
      <c r="L20" s="283"/>
      <c r="M20" s="283"/>
      <c r="N20" s="280"/>
      <c r="P20" s="283"/>
      <c r="Q20" s="280"/>
      <c r="S20" s="3141">
        <f>G20</f>
        <v>2000000</v>
      </c>
      <c r="T20" s="3142"/>
      <c r="V20" s="836"/>
      <c r="W20" s="3243"/>
      <c r="X20" s="3244"/>
      <c r="AZ20" s="1654"/>
      <c r="BA20" s="1617">
        <v>20</v>
      </c>
    </row>
    <row r="21" spans="1:53" s="144" customFormat="1" ht="11.25" customHeight="1">
      <c r="B21" s="144" t="s">
        <v>1053</v>
      </c>
      <c r="G21" s="3116"/>
      <c r="H21" s="3117"/>
      <c r="J21" s="283"/>
      <c r="K21" s="280"/>
      <c r="L21" s="283"/>
      <c r="M21" s="283"/>
      <c r="N21" s="280"/>
      <c r="P21" s="283"/>
      <c r="Q21" s="280"/>
      <c r="S21" s="3116"/>
      <c r="T21" s="3117"/>
      <c r="V21" s="836"/>
      <c r="W21" s="3243"/>
      <c r="X21" s="3244"/>
      <c r="AZ21" s="1654"/>
      <c r="BA21" s="1617">
        <v>21</v>
      </c>
    </row>
    <row r="22" spans="1:53" s="144" customFormat="1" ht="11.25" customHeight="1">
      <c r="B22" s="144" t="s">
        <v>431</v>
      </c>
      <c r="G22" s="3116"/>
      <c r="H22" s="3117"/>
      <c r="J22" s="283"/>
      <c r="K22" s="280"/>
      <c r="L22" s="283"/>
      <c r="M22" s="3141"/>
      <c r="N22" s="3142"/>
      <c r="P22" s="283"/>
      <c r="Q22" s="280"/>
      <c r="S22" s="3116"/>
      <c r="T22" s="3117"/>
      <c r="V22" s="836"/>
      <c r="W22" s="3243"/>
      <c r="X22" s="3244"/>
      <c r="AZ22" s="1654"/>
      <c r="BA22" s="1617">
        <v>22</v>
      </c>
    </row>
    <row r="23" spans="1:53" s="144" customFormat="1" ht="11.25" customHeight="1" thickBot="1">
      <c r="B23" s="144" t="s">
        <v>404</v>
      </c>
      <c r="G23" s="3253"/>
      <c r="H23" s="3254"/>
      <c r="J23" s="283"/>
      <c r="K23" s="280"/>
      <c r="L23" s="283"/>
      <c r="M23" s="3253"/>
      <c r="N23" s="3254"/>
      <c r="P23" s="283"/>
      <c r="Q23" s="280"/>
      <c r="S23" s="3253"/>
      <c r="T23" s="3254"/>
      <c r="V23" s="836"/>
      <c r="W23" s="3247"/>
      <c r="X23" s="3248"/>
      <c r="AZ23" s="1654"/>
      <c r="BA23" s="1617">
        <v>23</v>
      </c>
    </row>
    <row r="24" spans="1:53" s="144" customFormat="1" ht="12.6" customHeight="1" thickTop="1">
      <c r="F24" s="281" t="s">
        <v>184</v>
      </c>
      <c r="G24" s="3249">
        <f>SUM(G20:G23)</f>
        <v>2000000</v>
      </c>
      <c r="H24" s="3250"/>
      <c r="J24" s="283"/>
      <c r="K24" s="280"/>
      <c r="L24" s="283"/>
      <c r="M24" s="3249">
        <f>SUM(M22:M23)</f>
        <v>0</v>
      </c>
      <c r="N24" s="3250"/>
      <c r="P24" s="283"/>
      <c r="Q24" s="280"/>
      <c r="S24" s="3249">
        <f>SUM(S20:S23)</f>
        <v>2000000</v>
      </c>
      <c r="T24" s="3250"/>
      <c r="V24" s="838">
        <f>SUM(V20:V23)</f>
        <v>0</v>
      </c>
      <c r="W24" s="3251"/>
      <c r="X24" s="3252"/>
      <c r="AZ24" s="1654" t="s">
        <v>4268</v>
      </c>
      <c r="BA24" s="1617">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4"/>
      <c r="BA25" s="1617">
        <v>25</v>
      </c>
    </row>
    <row r="26" spans="1:53" s="144" customFormat="1" ht="11.25" customHeight="1">
      <c r="B26" s="144" t="s">
        <v>1055</v>
      </c>
      <c r="E26" s="646" t="s">
        <v>3136</v>
      </c>
      <c r="F26" s="1809">
        <f>IF('Part I-Project Identification'!$O$28="","",G26/'Part I-Project Identification'!$O$28)</f>
        <v>375000</v>
      </c>
      <c r="G26" s="3141">
        <v>3120000</v>
      </c>
      <c r="H26" s="3142"/>
      <c r="J26" s="3141">
        <f>G26</f>
        <v>3120000</v>
      </c>
      <c r="K26" s="3142"/>
      <c r="L26" s="815"/>
      <c r="M26" s="3255"/>
      <c r="N26" s="3256"/>
      <c r="P26" s="3255"/>
      <c r="Q26" s="3256"/>
      <c r="S26" s="3141">
        <v>0</v>
      </c>
      <c r="T26" s="3142"/>
      <c r="V26" s="836"/>
      <c r="W26" s="3243"/>
      <c r="X26" s="3244"/>
      <c r="AZ26" s="1654"/>
      <c r="BA26" s="1617">
        <v>26</v>
      </c>
    </row>
    <row r="27" spans="1:53" s="144" customFormat="1" ht="11.25" customHeight="1" thickBot="1">
      <c r="B27" s="144" t="s">
        <v>1056</v>
      </c>
      <c r="G27" s="3253">
        <v>80000</v>
      </c>
      <c r="H27" s="3254"/>
      <c r="J27" s="3253"/>
      <c r="K27" s="3254"/>
      <c r="L27" s="284"/>
      <c r="M27" s="3257"/>
      <c r="N27" s="3257"/>
      <c r="P27" s="3257"/>
      <c r="Q27" s="3257"/>
      <c r="S27" s="3253">
        <f>G27</f>
        <v>80000</v>
      </c>
      <c r="T27" s="3254"/>
      <c r="V27" s="836"/>
      <c r="W27" s="3247"/>
      <c r="X27" s="3248"/>
      <c r="AZ27" s="1654"/>
      <c r="BA27" s="1617">
        <v>27</v>
      </c>
    </row>
    <row r="28" spans="1:53" s="144" customFormat="1" ht="12.6" customHeight="1" thickTop="1">
      <c r="F28" s="281" t="s">
        <v>184</v>
      </c>
      <c r="G28" s="3249">
        <f>SUM(G26:G27)</f>
        <v>3200000</v>
      </c>
      <c r="H28" s="3250"/>
      <c r="J28" s="3249">
        <f>SUM(J26:J27)</f>
        <v>3120000</v>
      </c>
      <c r="K28" s="3250"/>
      <c r="L28" s="283"/>
      <c r="M28" s="3249">
        <f>M26</f>
        <v>0</v>
      </c>
      <c r="N28" s="3250"/>
      <c r="P28" s="3249">
        <f>P26</f>
        <v>0</v>
      </c>
      <c r="Q28" s="3250"/>
      <c r="S28" s="3249">
        <f>SUM(S26:S27)</f>
        <v>80000</v>
      </c>
      <c r="T28" s="3250"/>
      <c r="V28" s="838">
        <f>SUM(V26:V27)</f>
        <v>0</v>
      </c>
      <c r="W28" s="3251"/>
      <c r="X28" s="3252"/>
      <c r="AZ28" s="1654" t="s">
        <v>4269</v>
      </c>
      <c r="BA28" s="1617">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4"/>
      <c r="BA29" s="1617">
        <v>29</v>
      </c>
    </row>
    <row r="30" spans="1:53" s="144" customFormat="1" ht="11.25" customHeight="1">
      <c r="B30" s="144" t="s">
        <v>1058</v>
      </c>
      <c r="G30" s="3141">
        <v>11600000</v>
      </c>
      <c r="H30" s="3142"/>
      <c r="J30" s="3141">
        <f>G30</f>
        <v>11600000</v>
      </c>
      <c r="K30" s="3142"/>
      <c r="L30" s="815"/>
      <c r="M30" s="3141"/>
      <c r="N30" s="3142"/>
      <c r="P30" s="3141"/>
      <c r="Q30" s="3142"/>
      <c r="S30" s="3141"/>
      <c r="T30" s="3142"/>
      <c r="V30" s="836"/>
      <c r="W30" s="3243"/>
      <c r="X30" s="3244"/>
      <c r="AZ30" s="1654"/>
      <c r="BA30" s="1617">
        <v>30</v>
      </c>
    </row>
    <row r="31" spans="1:53" s="144" customFormat="1" ht="11.25" customHeight="1">
      <c r="B31" s="144" t="s">
        <v>1059</v>
      </c>
      <c r="G31" s="3116"/>
      <c r="H31" s="3117"/>
      <c r="J31" s="3116"/>
      <c r="K31" s="3117"/>
      <c r="L31" s="815"/>
      <c r="M31" s="3116"/>
      <c r="N31" s="3117"/>
      <c r="P31" s="3116"/>
      <c r="Q31" s="3117"/>
      <c r="S31" s="3116"/>
      <c r="T31" s="3117"/>
      <c r="V31" s="836"/>
      <c r="W31" s="3243"/>
      <c r="X31" s="3244"/>
      <c r="AZ31" s="1654"/>
      <c r="BA31" s="1617">
        <v>31</v>
      </c>
    </row>
    <row r="32" spans="1:53" s="144" customFormat="1" ht="11.25" customHeight="1">
      <c r="B32" s="144" t="s">
        <v>3991</v>
      </c>
      <c r="G32" s="3116">
        <v>375000</v>
      </c>
      <c r="H32" s="3117"/>
      <c r="J32" s="3116">
        <f>G32</f>
        <v>375000</v>
      </c>
      <c r="K32" s="3117"/>
      <c r="L32" s="815"/>
      <c r="M32" s="3116"/>
      <c r="N32" s="3117"/>
      <c r="P32" s="3116"/>
      <c r="Q32" s="3117"/>
      <c r="S32" s="3116"/>
      <c r="T32" s="3117"/>
      <c r="V32" s="836"/>
      <c r="W32" s="3243"/>
      <c r="X32" s="3244"/>
      <c r="AZ32" s="1654"/>
      <c r="BA32" s="1617">
        <v>32</v>
      </c>
    </row>
    <row r="33" spans="1:53" s="144" customFormat="1" ht="11.25" customHeight="1">
      <c r="B33" s="144" t="s">
        <v>3989</v>
      </c>
      <c r="G33" s="3116"/>
      <c r="H33" s="3117"/>
      <c r="J33" s="3116"/>
      <c r="K33" s="3117"/>
      <c r="L33" s="815"/>
      <c r="M33" s="3116"/>
      <c r="N33" s="3117"/>
      <c r="P33" s="3116"/>
      <c r="Q33" s="3117"/>
      <c r="S33" s="3116"/>
      <c r="T33" s="3117"/>
      <c r="V33" s="836"/>
      <c r="W33" s="3243"/>
      <c r="X33" s="3244"/>
      <c r="AZ33" s="1654"/>
      <c r="BA33" s="1617">
        <v>33</v>
      </c>
    </row>
    <row r="34" spans="1:53" ht="11.25" customHeight="1">
      <c r="B34" s="144" t="s">
        <v>2487</v>
      </c>
      <c r="G34" s="3116"/>
      <c r="H34" s="3117"/>
      <c r="I34" s="144"/>
      <c r="J34" s="3116"/>
      <c r="K34" s="3117"/>
      <c r="L34" s="815"/>
      <c r="M34" s="3116"/>
      <c r="N34" s="3117"/>
      <c r="O34" s="144"/>
      <c r="P34" s="3116"/>
      <c r="Q34" s="3117"/>
      <c r="R34" s="144"/>
      <c r="S34" s="3116"/>
      <c r="T34" s="3117"/>
      <c r="V34" s="836"/>
      <c r="W34" s="3247"/>
      <c r="X34" s="3248"/>
      <c r="BA34" s="1617">
        <v>34</v>
      </c>
    </row>
    <row r="35" spans="1:53" ht="11.25" customHeight="1" thickBot="1">
      <c r="B35" s="144" t="s">
        <v>3990</v>
      </c>
      <c r="G35" s="3258"/>
      <c r="H35" s="3259"/>
      <c r="I35" s="144"/>
      <c r="J35" s="3258"/>
      <c r="K35" s="3259"/>
      <c r="L35" s="815"/>
      <c r="M35" s="3258"/>
      <c r="N35" s="3259"/>
      <c r="O35" s="144"/>
      <c r="P35" s="3258"/>
      <c r="Q35" s="3259"/>
      <c r="R35" s="144"/>
      <c r="S35" s="3258"/>
      <c r="T35" s="3259"/>
      <c r="V35" s="836"/>
      <c r="W35" s="3247"/>
      <c r="X35" s="3248"/>
      <c r="BA35" s="1617">
        <v>35</v>
      </c>
    </row>
    <row r="36" spans="1:53" s="144" customFormat="1" ht="12.6" customHeight="1" thickTop="1">
      <c r="C36" s="3261"/>
      <c r="D36" s="3261"/>
      <c r="E36" s="816"/>
      <c r="F36" s="281" t="s">
        <v>184</v>
      </c>
      <c r="G36" s="3249">
        <f>SUM(G30:G35)</f>
        <v>11975000</v>
      </c>
      <c r="H36" s="3250"/>
      <c r="J36" s="3249">
        <f>SUM(J30:J35)</f>
        <v>11975000</v>
      </c>
      <c r="K36" s="3250"/>
      <c r="L36" s="815"/>
      <c r="M36" s="3249">
        <f>SUM(M30:M35)</f>
        <v>0</v>
      </c>
      <c r="N36" s="3250"/>
      <c r="P36" s="3249">
        <f>SUM(P30:P35)</f>
        <v>0</v>
      </c>
      <c r="Q36" s="3250"/>
      <c r="S36" s="3249">
        <f>SUM(S30:S35)</f>
        <v>0</v>
      </c>
      <c r="T36" s="3250"/>
      <c r="V36" s="838">
        <f>SUM(V30:V35)</f>
        <v>0</v>
      </c>
      <c r="W36" s="3251"/>
      <c r="X36" s="3252"/>
      <c r="AZ36" s="1654" t="s">
        <v>4270</v>
      </c>
      <c r="BA36" s="1617">
        <v>36</v>
      </c>
    </row>
    <row r="37" spans="1:53" s="144" customFormat="1" ht="12" customHeight="1">
      <c r="B37" s="243" t="s">
        <v>2157</v>
      </c>
      <c r="D37" s="3260" t="s">
        <v>3140</v>
      </c>
      <c r="E37" s="3260"/>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4"/>
      <c r="BA37" s="1617">
        <v>37</v>
      </c>
    </row>
    <row r="38" spans="1:53" s="144" customFormat="1" ht="11.25" customHeight="1">
      <c r="B38" s="144" t="s">
        <v>2158</v>
      </c>
      <c r="D38" s="1856">
        <f>'DCA Underwriting Assumptions'!$R$52</f>
        <v>0.06</v>
      </c>
      <c r="E38" s="1857">
        <f>ROUNDDOWN(D38*(G28+G36),0)</f>
        <v>910500</v>
      </c>
      <c r="F38" s="1858">
        <f>IF(($G$28+$G$36)=0,0,G38/($G$28+$G$36))</f>
        <v>0.06</v>
      </c>
      <c r="G38" s="3141">
        <v>910500</v>
      </c>
      <c r="H38" s="3142"/>
      <c r="I38" s="145"/>
      <c r="J38" s="3141">
        <v>905700</v>
      </c>
      <c r="K38" s="3142"/>
      <c r="L38" s="815"/>
      <c r="M38" s="3141"/>
      <c r="N38" s="3142"/>
      <c r="P38" s="3141"/>
      <c r="Q38" s="3142"/>
      <c r="S38" s="3141">
        <f>G38-J38</f>
        <v>4800</v>
      </c>
      <c r="T38" s="3142"/>
      <c r="V38" s="836"/>
      <c r="W38" s="3243"/>
      <c r="X38" s="3244"/>
      <c r="AZ38" s="1654"/>
      <c r="BA38" s="1617">
        <v>38</v>
      </c>
    </row>
    <row r="39" spans="1:53" s="144" customFormat="1" ht="11.25" customHeight="1">
      <c r="B39" s="144" t="s">
        <v>2468</v>
      </c>
      <c r="D39" s="1856">
        <f>'DCA Underwriting Assumptions'!$R$53</f>
        <v>0.02</v>
      </c>
      <c r="E39" s="1857">
        <f>ROUNDDOWN(D39*(G28+G36),0)</f>
        <v>303500</v>
      </c>
      <c r="F39" s="1858">
        <f>IF(($G$28+$G$36)=0,0,G39/($G$28+$G$36))</f>
        <v>0.02</v>
      </c>
      <c r="G39" s="3116">
        <v>303500</v>
      </c>
      <c r="H39" s="3117"/>
      <c r="I39" s="145"/>
      <c r="J39" s="3116">
        <v>301900</v>
      </c>
      <c r="K39" s="3117"/>
      <c r="L39" s="815"/>
      <c r="M39" s="3116"/>
      <c r="N39" s="3117"/>
      <c r="P39" s="3116"/>
      <c r="Q39" s="3117"/>
      <c r="S39" s="3116">
        <f t="shared" ref="S39:S40" si="0">G39-J39</f>
        <v>1600</v>
      </c>
      <c r="T39" s="3117"/>
      <c r="V39" s="836"/>
      <c r="W39" s="3243"/>
      <c r="X39" s="3244"/>
      <c r="AZ39" s="1654"/>
      <c r="BA39" s="1617">
        <v>39</v>
      </c>
    </row>
    <row r="40" spans="1:53" s="144" customFormat="1" ht="11.25" customHeight="1" thickBot="1">
      <c r="B40" s="144" t="s">
        <v>2469</v>
      </c>
      <c r="D40" s="1859">
        <f>'DCA Underwriting Assumptions'!$R$54</f>
        <v>0.06</v>
      </c>
      <c r="E40" s="1860">
        <f>ROUNDDOWN(D40*(G28+G36),0)</f>
        <v>910500</v>
      </c>
      <c r="F40" s="1861">
        <f>IF(($G$28+$G$36)=0,0,G40/($G$28+$G$36))</f>
        <v>0.06</v>
      </c>
      <c r="G40" s="3253">
        <v>910500</v>
      </c>
      <c r="H40" s="3254"/>
      <c r="I40" s="145"/>
      <c r="J40" s="3253">
        <f>J38</f>
        <v>905700</v>
      </c>
      <c r="K40" s="3254"/>
      <c r="L40" s="815"/>
      <c r="M40" s="3253"/>
      <c r="N40" s="3254"/>
      <c r="P40" s="3253"/>
      <c r="Q40" s="3254"/>
      <c r="S40" s="3253">
        <f t="shared" si="0"/>
        <v>4800</v>
      </c>
      <c r="T40" s="3254"/>
      <c r="V40" s="836"/>
      <c r="W40" s="3247"/>
      <c r="X40" s="3248"/>
      <c r="AZ40" s="1654"/>
      <c r="BA40" s="1617">
        <v>40</v>
      </c>
    </row>
    <row r="41" spans="1:53" s="144" customFormat="1" ht="12.6" customHeight="1" thickTop="1">
      <c r="B41" s="147" t="s">
        <v>3141</v>
      </c>
      <c r="D41" s="748">
        <f>SUM(D38:D40)</f>
        <v>0.14000000000000001</v>
      </c>
      <c r="E41" s="749">
        <f>SUM(E38:E40)</f>
        <v>2124500</v>
      </c>
      <c r="F41" s="1855" t="s">
        <v>184</v>
      </c>
      <c r="G41" s="3249">
        <f>SUM(G38:G40)</f>
        <v>2124500</v>
      </c>
      <c r="H41" s="3250"/>
      <c r="J41" s="3249">
        <f>SUM(J38:J40)</f>
        <v>2113300</v>
      </c>
      <c r="K41" s="3250"/>
      <c r="L41" s="283"/>
      <c r="M41" s="3249">
        <f>SUM(M38:M40)</f>
        <v>0</v>
      </c>
      <c r="N41" s="3250"/>
      <c r="P41" s="3249">
        <f>SUM(P38:P40)</f>
        <v>0</v>
      </c>
      <c r="Q41" s="3250"/>
      <c r="S41" s="3249">
        <f>SUM(S38:S40)</f>
        <v>11200</v>
      </c>
      <c r="T41" s="3250"/>
      <c r="V41" s="838">
        <f>SUM(V38:V40)</f>
        <v>0</v>
      </c>
      <c r="W41" s="3251"/>
      <c r="X41" s="3252"/>
      <c r="AZ41" s="1654" t="s">
        <v>4271</v>
      </c>
      <c r="BA41" s="1617">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4"/>
      <c r="BA42" s="1617">
        <v>42</v>
      </c>
    </row>
    <row r="43" spans="1:53" s="144" customFormat="1">
      <c r="A43" s="374"/>
      <c r="C43" s="1559" t="s">
        <v>4388</v>
      </c>
      <c r="D43" s="1623"/>
      <c r="E43" s="1560"/>
      <c r="F43" s="1560"/>
      <c r="G43" s="3262">
        <f>G28+G36+G41</f>
        <v>17299500</v>
      </c>
      <c r="H43" s="3263"/>
      <c r="I43" s="374"/>
      <c r="J43" s="374"/>
      <c r="K43" s="374"/>
      <c r="L43" s="374"/>
      <c r="M43" s="374"/>
      <c r="N43" s="374"/>
      <c r="O43" s="374"/>
      <c r="P43" s="374"/>
      <c r="Q43" s="374"/>
      <c r="R43" s="374"/>
      <c r="S43" s="374"/>
      <c r="T43" s="374"/>
      <c r="V43" s="839"/>
      <c r="AZ43" s="1654"/>
      <c r="BA43" s="1617">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0" t="s">
        <v>4272</v>
      </c>
      <c r="BA44" s="1617">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4"/>
      <c r="BA45" s="1617">
        <v>45</v>
      </c>
    </row>
    <row r="46" spans="1:53" ht="11.25" customHeight="1">
      <c r="B46" s="147" t="s">
        <v>4173</v>
      </c>
      <c r="C46" s="3245" t="s">
        <v>4616</v>
      </c>
      <c r="D46" s="3264"/>
      <c r="E46" s="3264"/>
      <c r="F46" s="3265"/>
      <c r="G46" s="3266"/>
      <c r="H46" s="3267"/>
      <c r="I46" s="144"/>
      <c r="J46" s="3266"/>
      <c r="K46" s="3267"/>
      <c r="L46" s="815"/>
      <c r="M46" s="3266"/>
      <c r="N46" s="3267"/>
      <c r="O46" s="144"/>
      <c r="P46" s="3266"/>
      <c r="Q46" s="3267"/>
      <c r="R46" s="144"/>
      <c r="S46" s="3266"/>
      <c r="T46" s="3267"/>
      <c r="V46" s="836"/>
      <c r="W46" s="3268"/>
      <c r="X46" s="3269"/>
      <c r="AZ46" s="1654"/>
      <c r="BA46" s="1617">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70"/>
      <c r="X47" s="3271"/>
      <c r="AZ47" s="1654" t="s">
        <v>4273</v>
      </c>
      <c r="BA47" s="1617">
        <v>47</v>
      </c>
    </row>
    <row r="48" spans="1:53" s="144" customFormat="1" ht="12.6" customHeight="1">
      <c r="B48" s="1576" t="s">
        <v>2472</v>
      </c>
      <c r="C48" s="1577"/>
      <c r="E48" s="3274" t="s">
        <v>2471</v>
      </c>
      <c r="F48" s="1578">
        <f>C49/'Part V-Revenues &amp; Expenses'!$P$65</f>
        <v>216243.75</v>
      </c>
      <c r="G48" s="1579" t="s">
        <v>2485</v>
      </c>
      <c r="H48" s="1580"/>
      <c r="I48" s="1580"/>
      <c r="J48" s="3276">
        <f>C49/'Part V-Revenues &amp; Expenses'!$P$67</f>
        <v>216243.75</v>
      </c>
      <c r="K48" s="3276"/>
      <c r="L48" s="1580"/>
      <c r="M48" s="3277" t="s">
        <v>4374</v>
      </c>
      <c r="N48" s="3277"/>
      <c r="O48" s="1580"/>
      <c r="P48" s="3276">
        <f>C49/'Part V-Revenues &amp; Expenses'!$K$179</f>
        <v>182.60938407135694</v>
      </c>
      <c r="Q48" s="3276"/>
      <c r="R48" s="1580"/>
      <c r="S48" s="3278" t="s">
        <v>4376</v>
      </c>
      <c r="T48" s="3279"/>
      <c r="V48" s="839"/>
      <c r="W48" s="3270"/>
      <c r="X48" s="3271"/>
      <c r="AZ48" s="1654"/>
      <c r="BA48" s="1617">
        <v>48</v>
      </c>
    </row>
    <row r="49" spans="1:53" s="144" customFormat="1" ht="12.6" customHeight="1">
      <c r="B49" s="1625" t="s">
        <v>4387</v>
      </c>
      <c r="C49" s="1624">
        <f>G28+G36+G41+G46</f>
        <v>17299500</v>
      </c>
      <c r="E49" s="3275"/>
      <c r="F49" s="1581">
        <f>C49/'Part V-Revenues &amp; Expenses'!$P$170</f>
        <v>220.65688775510205</v>
      </c>
      <c r="G49" s="1582" t="s">
        <v>2486</v>
      </c>
      <c r="H49" s="1583"/>
      <c r="I49" s="1583"/>
      <c r="J49" s="3280">
        <f>C49/'Part V-Revenues &amp; Expenses'!$P$172</f>
        <v>220.65688775510205</v>
      </c>
      <c r="K49" s="3280"/>
      <c r="L49" s="1583"/>
      <c r="M49" s="3281" t="s">
        <v>4375</v>
      </c>
      <c r="N49" s="3281"/>
      <c r="O49" s="1583"/>
      <c r="P49" s="1583"/>
      <c r="Q49" s="1583"/>
      <c r="R49" s="1583"/>
      <c r="S49" s="1583"/>
      <c r="T49" s="1584"/>
      <c r="V49" s="839"/>
      <c r="W49" s="3272"/>
      <c r="X49" s="3273"/>
      <c r="AZ49" s="1654"/>
      <c r="BA49" s="1617">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4"/>
      <c r="BA50" s="1617">
        <v>56</v>
      </c>
    </row>
    <row r="51" spans="1:53" s="144" customFormat="1" ht="18.75" customHeight="1" thickBot="1">
      <c r="A51" s="342" t="s">
        <v>572</v>
      </c>
      <c r="B51" s="342" t="s">
        <v>2517</v>
      </c>
      <c r="J51" s="3233" t="s">
        <v>259</v>
      </c>
      <c r="K51" s="3234"/>
      <c r="L51" s="280"/>
      <c r="M51" s="3237" t="s">
        <v>459</v>
      </c>
      <c r="N51" s="3238"/>
      <c r="P51" s="3233" t="s">
        <v>260</v>
      </c>
      <c r="Q51" s="3234"/>
      <c r="S51" s="3233" t="s">
        <v>261</v>
      </c>
      <c r="T51" s="3234"/>
      <c r="V51" s="839"/>
      <c r="W51" s="343" t="str">
        <f>B51</f>
        <v>DEVELOPMENT BUDGET (cont'd)</v>
      </c>
      <c r="AZ51" s="1654"/>
      <c r="BA51" s="1617">
        <v>58</v>
      </c>
    </row>
    <row r="52" spans="1:53" s="144" customFormat="1" ht="18.75" customHeight="1" thickBot="1">
      <c r="G52" s="3241" t="s">
        <v>95</v>
      </c>
      <c r="H52" s="3242"/>
      <c r="J52" s="3235"/>
      <c r="K52" s="3236"/>
      <c r="L52" s="280"/>
      <c r="M52" s="3239"/>
      <c r="N52" s="3240"/>
      <c r="P52" s="3235"/>
      <c r="Q52" s="3236"/>
      <c r="S52" s="3235"/>
      <c r="T52" s="3236"/>
      <c r="V52" s="839"/>
      <c r="W52" s="3282" t="s">
        <v>2441</v>
      </c>
      <c r="X52" s="3282"/>
      <c r="AZ52" s="1654"/>
      <c r="BA52" s="1617">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0"/>
      <c r="BA53" s="1617">
        <v>50</v>
      </c>
    </row>
    <row r="54" spans="1:53" s="144" customFormat="1" ht="12" customHeight="1">
      <c r="B54" s="243" t="s">
        <v>4195</v>
      </c>
      <c r="F54" s="231" t="s">
        <v>3324</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4"/>
      <c r="BA54" s="1617">
        <v>51</v>
      </c>
    </row>
    <row r="55" spans="1:53" ht="11.25" customHeight="1">
      <c r="B55" s="144" t="s">
        <v>1816</v>
      </c>
      <c r="D55" s="646" t="s">
        <v>3323</v>
      </c>
      <c r="E55" s="166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864975</v>
      </c>
      <c r="F55" s="1665">
        <f>G55/C49</f>
        <v>0.05</v>
      </c>
      <c r="G55" s="3266">
        <v>864975</v>
      </c>
      <c r="H55" s="3267"/>
      <c r="I55" s="144"/>
      <c r="J55" s="3266">
        <v>860415</v>
      </c>
      <c r="K55" s="3267"/>
      <c r="L55" s="815"/>
      <c r="M55" s="3266"/>
      <c r="N55" s="3267"/>
      <c r="O55" s="144"/>
      <c r="P55" s="3266"/>
      <c r="Q55" s="3267"/>
      <c r="R55" s="144"/>
      <c r="S55" s="3266">
        <f>G55-J55</f>
        <v>4560</v>
      </c>
      <c r="T55" s="3267"/>
      <c r="V55" s="836"/>
      <c r="W55" s="3243"/>
      <c r="X55" s="3244"/>
      <c r="AZ55" s="1654"/>
      <c r="BA55" s="1617">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8"/>
      <c r="X56" s="3269"/>
      <c r="AZ56" s="1654"/>
      <c r="BA56" s="1617">
        <v>53</v>
      </c>
    </row>
    <row r="57" spans="1:53" s="144" customFormat="1" ht="12.6" customHeight="1">
      <c r="B57" s="1585" t="s">
        <v>4196</v>
      </c>
      <c r="C57" s="1577"/>
      <c r="E57" s="3285" t="s">
        <v>4197</v>
      </c>
      <c r="F57" s="1578">
        <f>B58/'Part V-Revenues &amp; Expenses'!$P$65</f>
        <v>227055.9375</v>
      </c>
      <c r="G57" s="1579" t="s">
        <v>2485</v>
      </c>
      <c r="H57" s="1580"/>
      <c r="I57" s="1580"/>
      <c r="J57" s="3276">
        <f>B58/'Part V-Revenues &amp; Expenses'!$P$67</f>
        <v>227055.9375</v>
      </c>
      <c r="K57" s="3276"/>
      <c r="L57" s="1580"/>
      <c r="M57" s="3277" t="s">
        <v>4374</v>
      </c>
      <c r="N57" s="3277"/>
      <c r="O57" s="1580"/>
      <c r="P57" s="3276">
        <f>B58/'Part V-Revenues &amp; Expenses'!$K$179</f>
        <v>191.7398532749248</v>
      </c>
      <c r="Q57" s="3276"/>
      <c r="R57" s="1580"/>
      <c r="S57" s="3278" t="s">
        <v>4376</v>
      </c>
      <c r="T57" s="3279"/>
      <c r="V57" s="839"/>
      <c r="W57" s="3270"/>
      <c r="X57" s="3271"/>
      <c r="AZ57" s="1654"/>
      <c r="BA57" s="1617">
        <v>54</v>
      </c>
    </row>
    <row r="58" spans="1:53" s="144" customFormat="1" ht="12.6" customHeight="1">
      <c r="B58" s="3283">
        <f>C49+G55</f>
        <v>18164475</v>
      </c>
      <c r="C58" s="3284"/>
      <c r="E58" s="3286"/>
      <c r="F58" s="1581">
        <f>B58/'Part V-Revenues &amp; Expenses'!$P$170</f>
        <v>231.68973214285714</v>
      </c>
      <c r="G58" s="1582" t="s">
        <v>2486</v>
      </c>
      <c r="H58" s="1583"/>
      <c r="I58" s="1583"/>
      <c r="J58" s="3280">
        <f>B58/'Part V-Revenues &amp; Expenses'!$P$172</f>
        <v>231.68973214285714</v>
      </c>
      <c r="K58" s="3280"/>
      <c r="L58" s="1583"/>
      <c r="M58" s="3281" t="s">
        <v>4375</v>
      </c>
      <c r="N58" s="3281"/>
      <c r="O58" s="1583"/>
      <c r="P58" s="1583"/>
      <c r="Q58" s="1583"/>
      <c r="R58" s="1583"/>
      <c r="S58" s="1583"/>
      <c r="T58" s="1584"/>
      <c r="V58" s="839"/>
      <c r="W58" s="3270"/>
      <c r="X58" s="3271"/>
      <c r="AZ58" s="1654"/>
      <c r="BA58" s="1617">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2"/>
      <c r="X59" s="3273"/>
      <c r="AZ59" s="1654"/>
      <c r="BA59" s="1617">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4"/>
      <c r="BA60" s="1617">
        <v>60</v>
      </c>
    </row>
    <row r="61" spans="1:53" s="144" customFormat="1" ht="12" customHeight="1">
      <c r="B61" s="144" t="s">
        <v>3142</v>
      </c>
      <c r="G61" s="3141"/>
      <c r="H61" s="3142"/>
      <c r="J61" s="3141"/>
      <c r="K61" s="3142"/>
      <c r="L61" s="815"/>
      <c r="M61" s="3141"/>
      <c r="N61" s="3142"/>
      <c r="P61" s="3141"/>
      <c r="Q61" s="3142"/>
      <c r="S61" s="3141"/>
      <c r="T61" s="3142"/>
      <c r="V61" s="840"/>
      <c r="W61" s="3243"/>
      <c r="X61" s="3244"/>
      <c r="AZ61" s="1654"/>
      <c r="BA61" s="1617">
        <v>61</v>
      </c>
    </row>
    <row r="62" spans="1:53" s="144" customFormat="1" ht="12" customHeight="1">
      <c r="B62" s="144" t="s">
        <v>3143</v>
      </c>
      <c r="G62" s="3116"/>
      <c r="H62" s="3117"/>
      <c r="J62" s="3116"/>
      <c r="K62" s="3117"/>
      <c r="L62" s="815"/>
      <c r="M62" s="3116"/>
      <c r="N62" s="3117"/>
      <c r="P62" s="3116"/>
      <c r="Q62" s="3117"/>
      <c r="S62" s="3116"/>
      <c r="T62" s="3117"/>
      <c r="V62" s="840"/>
      <c r="W62" s="3243"/>
      <c r="X62" s="3244"/>
      <c r="AZ62" s="1654"/>
      <c r="BA62" s="1617">
        <v>62</v>
      </c>
    </row>
    <row r="63" spans="1:53" s="144" customFormat="1" ht="12" customHeight="1">
      <c r="B63" s="144" t="s">
        <v>2160</v>
      </c>
      <c r="G63" s="3116">
        <v>150000</v>
      </c>
      <c r="H63" s="3117"/>
      <c r="J63" s="3116">
        <f>G63</f>
        <v>150000</v>
      </c>
      <c r="K63" s="3117"/>
      <c r="L63" s="815"/>
      <c r="M63" s="3116"/>
      <c r="N63" s="3117"/>
      <c r="P63" s="3116"/>
      <c r="Q63" s="3117"/>
      <c r="S63" s="3116"/>
      <c r="T63" s="3117"/>
      <c r="V63" s="840"/>
      <c r="W63" s="3243"/>
      <c r="X63" s="3244"/>
      <c r="AZ63" s="1654"/>
      <c r="BA63" s="1617">
        <v>63</v>
      </c>
    </row>
    <row r="64" spans="1:53" s="144" customFormat="1" ht="12" customHeight="1">
      <c r="B64" s="144" t="s">
        <v>2161</v>
      </c>
      <c r="G64" s="3116">
        <v>1844000</v>
      </c>
      <c r="H64" s="3117"/>
      <c r="J64" s="3116">
        <v>1140000</v>
      </c>
      <c r="K64" s="3117"/>
      <c r="L64" s="815"/>
      <c r="M64" s="3116"/>
      <c r="N64" s="3117"/>
      <c r="P64" s="3116"/>
      <c r="Q64" s="3117"/>
      <c r="S64" s="3116">
        <f>G64-J64</f>
        <v>704000</v>
      </c>
      <c r="T64" s="3117"/>
      <c r="V64" s="840"/>
      <c r="W64" s="3243"/>
      <c r="X64" s="3244"/>
      <c r="AZ64" s="1654"/>
      <c r="BA64" s="1617">
        <v>64</v>
      </c>
    </row>
    <row r="65" spans="1:53" s="144" customFormat="1" ht="12" customHeight="1">
      <c r="B65" s="144" t="s">
        <v>2162</v>
      </c>
      <c r="G65" s="3116">
        <v>75000</v>
      </c>
      <c r="H65" s="3117"/>
      <c r="J65" s="3116">
        <f>G65</f>
        <v>75000</v>
      </c>
      <c r="K65" s="3117"/>
      <c r="L65" s="815"/>
      <c r="M65" s="3116"/>
      <c r="N65" s="3117"/>
      <c r="P65" s="3116"/>
      <c r="Q65" s="3117"/>
      <c r="S65" s="3116"/>
      <c r="T65" s="3117"/>
      <c r="V65" s="840"/>
      <c r="W65" s="3243"/>
      <c r="X65" s="3244"/>
      <c r="AZ65" s="1654" t="s">
        <v>4274</v>
      </c>
      <c r="BA65" s="1617">
        <v>65</v>
      </c>
    </row>
    <row r="66" spans="1:53" s="144" customFormat="1" ht="12" customHeight="1">
      <c r="B66" s="144" t="s">
        <v>2443</v>
      </c>
      <c r="G66" s="3116">
        <v>36000</v>
      </c>
      <c r="H66" s="3117"/>
      <c r="J66" s="3116">
        <f>G66</f>
        <v>36000</v>
      </c>
      <c r="K66" s="3117"/>
      <c r="L66" s="815"/>
      <c r="M66" s="3116"/>
      <c r="N66" s="3117"/>
      <c r="P66" s="3116"/>
      <c r="Q66" s="3117"/>
      <c r="S66" s="3116"/>
      <c r="T66" s="3117"/>
      <c r="V66" s="840"/>
      <c r="W66" s="3243"/>
      <c r="X66" s="3244"/>
      <c r="AZ66" s="1654" t="s">
        <v>4275</v>
      </c>
      <c r="BA66" s="1617">
        <v>66</v>
      </c>
    </row>
    <row r="67" spans="1:53" s="144" customFormat="1" ht="12" customHeight="1">
      <c r="B67" s="144" t="s">
        <v>675</v>
      </c>
      <c r="G67" s="3116">
        <v>10000</v>
      </c>
      <c r="H67" s="3117"/>
      <c r="J67" s="3116">
        <f>G67</f>
        <v>10000</v>
      </c>
      <c r="K67" s="3117"/>
      <c r="L67" s="815"/>
      <c r="M67" s="3116"/>
      <c r="N67" s="3117"/>
      <c r="P67" s="3116"/>
      <c r="Q67" s="3117"/>
      <c r="S67" s="3116"/>
      <c r="T67" s="3117"/>
      <c r="V67" s="840"/>
      <c r="W67" s="3243"/>
      <c r="X67" s="3244"/>
      <c r="AZ67" s="1654" t="s">
        <v>4276</v>
      </c>
      <c r="BA67" s="1617">
        <v>67</v>
      </c>
    </row>
    <row r="68" spans="1:53" s="144" customFormat="1" ht="12" customHeight="1">
      <c r="B68" s="144" t="s">
        <v>2163</v>
      </c>
      <c r="G68" s="3116">
        <v>121590</v>
      </c>
      <c r="H68" s="3117"/>
      <c r="J68" s="3116">
        <f>G68</f>
        <v>121590</v>
      </c>
      <c r="K68" s="3117"/>
      <c r="L68" s="815"/>
      <c r="M68" s="3116"/>
      <c r="N68" s="3117"/>
      <c r="P68" s="3116"/>
      <c r="Q68" s="3117"/>
      <c r="S68" s="3116"/>
      <c r="T68" s="3117"/>
      <c r="V68" s="840"/>
      <c r="W68" s="3243"/>
      <c r="X68" s="3244"/>
      <c r="AZ68" s="1654"/>
      <c r="BA68" s="1617">
        <v>68</v>
      </c>
    </row>
    <row r="69" spans="1:53" s="144" customFormat="1" ht="12" customHeight="1">
      <c r="B69" s="144" t="s">
        <v>1198</v>
      </c>
      <c r="G69" s="3116">
        <v>72000</v>
      </c>
      <c r="H69" s="3117"/>
      <c r="J69" s="3116">
        <v>50000</v>
      </c>
      <c r="K69" s="3117"/>
      <c r="L69" s="815"/>
      <c r="M69" s="3116"/>
      <c r="N69" s="3117"/>
      <c r="P69" s="3116"/>
      <c r="Q69" s="3117"/>
      <c r="S69" s="3116">
        <f>G69-J69</f>
        <v>22000</v>
      </c>
      <c r="T69" s="3117"/>
      <c r="V69" s="840"/>
      <c r="W69" s="3243"/>
      <c r="X69" s="3244"/>
      <c r="AZ69" s="1654"/>
      <c r="BA69" s="1617">
        <v>69</v>
      </c>
    </row>
    <row r="70" spans="1:53" s="144" customFormat="1" ht="12" customHeight="1">
      <c r="B70" s="287" t="s">
        <v>1084</v>
      </c>
      <c r="D70" s="285"/>
      <c r="E70" s="285"/>
      <c r="F70" s="286"/>
      <c r="G70" s="3116"/>
      <c r="H70" s="3117"/>
      <c r="I70" s="145"/>
      <c r="J70" s="3116"/>
      <c r="K70" s="3117"/>
      <c r="L70" s="815"/>
      <c r="M70" s="3116"/>
      <c r="N70" s="3117"/>
      <c r="P70" s="3116"/>
      <c r="Q70" s="3117"/>
      <c r="S70" s="3116"/>
      <c r="T70" s="3117"/>
      <c r="V70" s="840"/>
      <c r="W70" s="3243"/>
      <c r="X70" s="3244"/>
      <c r="AZ70" s="1654"/>
      <c r="BA70" s="1617">
        <v>70</v>
      </c>
    </row>
    <row r="71" spans="1:53" s="144" customFormat="1" ht="12" customHeight="1">
      <c r="A71" s="303" t="str">
        <f>IF(AND(G71&gt;0,OR(C71="",C71="&lt;Enter detailed description here; use Comments section if needed&gt;")),"X","")</f>
        <v/>
      </c>
      <c r="B71" s="147" t="s">
        <v>4175</v>
      </c>
      <c r="C71" s="3289" t="s">
        <v>5145</v>
      </c>
      <c r="D71" s="3289"/>
      <c r="E71" s="3289"/>
      <c r="F71" s="3290"/>
      <c r="G71" s="3116">
        <f>5000+3000+1500</f>
        <v>9500</v>
      </c>
      <c r="H71" s="3117"/>
      <c r="J71" s="3116">
        <f>G71</f>
        <v>9500</v>
      </c>
      <c r="K71" s="3117"/>
      <c r="L71" s="815"/>
      <c r="M71" s="3116"/>
      <c r="N71" s="3117"/>
      <c r="P71" s="3116"/>
      <c r="Q71" s="3117"/>
      <c r="S71" s="3116"/>
      <c r="T71" s="3117"/>
      <c r="U71" s="302" t="str">
        <f>IF(AND(G71&gt;0,OR(C71="",C71="&lt;Enter detailed description here; use Comments section if needed&gt;")),"NO DESCRIPTION PROVIDED - please enter detailed description in Other box at left; use Comments section below if needed.","")</f>
        <v/>
      </c>
      <c r="V71" s="840"/>
      <c r="W71" s="3243"/>
      <c r="X71" s="3244"/>
      <c r="AZ71" s="1654"/>
      <c r="BA71" s="1617">
        <v>71</v>
      </c>
    </row>
    <row r="72" spans="1:53" s="144" customFormat="1" ht="12" customHeight="1" thickBot="1">
      <c r="A72" s="303" t="str">
        <f>IF(AND(G72&gt;0,OR(C72="",C72="&lt;Enter detailed description here; use Comments section if needed&gt;")),"X","")</f>
        <v/>
      </c>
      <c r="B72" s="147" t="s">
        <v>4176</v>
      </c>
      <c r="C72" s="3287" t="s">
        <v>4616</v>
      </c>
      <c r="D72" s="3287"/>
      <c r="E72" s="3287"/>
      <c r="F72" s="3288"/>
      <c r="G72" s="3130"/>
      <c r="H72" s="3131"/>
      <c r="J72" s="3130"/>
      <c r="K72" s="3131"/>
      <c r="L72" s="815"/>
      <c r="M72" s="3130"/>
      <c r="N72" s="3131"/>
      <c r="P72" s="3130"/>
      <c r="Q72" s="3131"/>
      <c r="S72" s="3130"/>
      <c r="T72" s="3131"/>
      <c r="U72" s="302" t="str">
        <f>IF(AND(G72&gt;0,OR(C72="",C72="&lt;Enter detailed description here; use Comments section if needed&gt;")),"NO DESCRIPTION PROVIDED - please enter detailed description in Other box at left; use Comments section below if needed.","")</f>
        <v/>
      </c>
      <c r="V72" s="840"/>
      <c r="W72" s="3247"/>
      <c r="X72" s="3248"/>
      <c r="AZ72" s="1654"/>
      <c r="BA72" s="1617">
        <v>72</v>
      </c>
    </row>
    <row r="73" spans="1:53" s="144" customFormat="1" ht="12" customHeight="1" thickTop="1">
      <c r="F73" s="281" t="s">
        <v>184</v>
      </c>
      <c r="G73" s="3249">
        <f>SUM(G61:G72)</f>
        <v>2318090</v>
      </c>
      <c r="H73" s="3250"/>
      <c r="J73" s="3249">
        <f>SUM(J61:J72)</f>
        <v>1592090</v>
      </c>
      <c r="K73" s="3250"/>
      <c r="L73" s="283"/>
      <c r="M73" s="3249">
        <f>SUM(M61:M72)</f>
        <v>0</v>
      </c>
      <c r="N73" s="3250"/>
      <c r="P73" s="3249">
        <f>SUM(P61:P72)</f>
        <v>0</v>
      </c>
      <c r="Q73" s="3250"/>
      <c r="S73" s="3249">
        <f>SUM(S61:S72)</f>
        <v>726000</v>
      </c>
      <c r="T73" s="3250"/>
      <c r="V73" s="841">
        <f>SUM(V61:V72)</f>
        <v>0</v>
      </c>
      <c r="W73" s="3251"/>
      <c r="X73" s="3252"/>
      <c r="AZ73" s="1654"/>
      <c r="BA73" s="1617">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4"/>
      <c r="BA74" s="1617">
        <v>74</v>
      </c>
    </row>
    <row r="75" spans="1:53" s="144" customFormat="1" ht="12" customHeight="1">
      <c r="B75" s="144" t="s">
        <v>449</v>
      </c>
      <c r="G75" s="3141">
        <v>320000</v>
      </c>
      <c r="H75" s="3142"/>
      <c r="J75" s="3141">
        <f>G75</f>
        <v>320000</v>
      </c>
      <c r="K75" s="3142"/>
      <c r="L75" s="815"/>
      <c r="M75" s="3141"/>
      <c r="N75" s="3142"/>
      <c r="P75" s="3141"/>
      <c r="Q75" s="3142"/>
      <c r="S75" s="3141"/>
      <c r="T75" s="3142"/>
      <c r="V75" s="836"/>
      <c r="W75" s="3243"/>
      <c r="X75" s="3244"/>
      <c r="AZ75" s="1654"/>
      <c r="BA75" s="1617">
        <v>75</v>
      </c>
    </row>
    <row r="76" spans="1:53" s="144" customFormat="1" ht="12" customHeight="1">
      <c r="B76" s="144" t="s">
        <v>450</v>
      </c>
      <c r="G76" s="3116">
        <f>126000+10000</f>
        <v>136000</v>
      </c>
      <c r="H76" s="3117"/>
      <c r="J76" s="3116">
        <f>G76</f>
        <v>136000</v>
      </c>
      <c r="K76" s="3117"/>
      <c r="L76" s="815"/>
      <c r="M76" s="3116"/>
      <c r="N76" s="3117"/>
      <c r="P76" s="3116"/>
      <c r="Q76" s="3117"/>
      <c r="S76" s="3116"/>
      <c r="T76" s="3117"/>
      <c r="V76" s="836"/>
      <c r="W76" s="3243"/>
      <c r="X76" s="3244"/>
      <c r="AZ76" s="1654"/>
      <c r="BA76" s="1617">
        <v>76</v>
      </c>
    </row>
    <row r="77" spans="1:53" s="144" customFormat="1" ht="12" customHeight="1">
      <c r="B77" s="144" t="s">
        <v>1060</v>
      </c>
      <c r="D77" s="247"/>
      <c r="E77" s="831"/>
      <c r="F77" s="392"/>
      <c r="G77" s="3116">
        <v>20000</v>
      </c>
      <c r="H77" s="3117"/>
      <c r="J77" s="3116">
        <f t="shared" ref="J77:J78" si="1">G77</f>
        <v>20000</v>
      </c>
      <c r="K77" s="3117"/>
      <c r="L77" s="815"/>
      <c r="M77" s="3116"/>
      <c r="N77" s="3117"/>
      <c r="P77" s="3116"/>
      <c r="Q77" s="3117"/>
      <c r="S77" s="3116"/>
      <c r="T77" s="3117"/>
      <c r="V77" s="836"/>
      <c r="W77" s="3243"/>
      <c r="X77" s="3244"/>
      <c r="AZ77" s="1654"/>
      <c r="BA77" s="1617">
        <v>77</v>
      </c>
    </row>
    <row r="78" spans="1:53" s="144" customFormat="1" ht="12" customHeight="1">
      <c r="B78" s="144" t="s">
        <v>1061</v>
      </c>
      <c r="G78" s="3116">
        <v>35000</v>
      </c>
      <c r="H78" s="3117"/>
      <c r="J78" s="3116">
        <f t="shared" si="1"/>
        <v>35000</v>
      </c>
      <c r="K78" s="3117"/>
      <c r="L78" s="815"/>
      <c r="M78" s="3116"/>
      <c r="N78" s="3117"/>
      <c r="P78" s="3116"/>
      <c r="Q78" s="3117"/>
      <c r="S78" s="3116"/>
      <c r="T78" s="3117"/>
      <c r="V78" s="836"/>
      <c r="W78" s="3243"/>
      <c r="X78" s="3244"/>
      <c r="AZ78" s="1654"/>
      <c r="BA78" s="1617">
        <v>78</v>
      </c>
    </row>
    <row r="79" spans="1:53" s="144" customFormat="1" ht="12" customHeight="1">
      <c r="B79" s="144" t="s">
        <v>1062</v>
      </c>
      <c r="G79" s="3116">
        <v>15000</v>
      </c>
      <c r="H79" s="3117"/>
      <c r="J79" s="3116">
        <f t="shared" ref="J79" si="2">G79</f>
        <v>15000</v>
      </c>
      <c r="K79" s="3117"/>
      <c r="L79" s="815"/>
      <c r="M79" s="3116"/>
      <c r="N79" s="3117"/>
      <c r="P79" s="3116"/>
      <c r="Q79" s="3117"/>
      <c r="S79" s="3116"/>
      <c r="T79" s="3117"/>
      <c r="V79" s="836"/>
      <c r="W79" s="3243"/>
      <c r="X79" s="3244"/>
      <c r="AZ79" s="1654" t="s">
        <v>4277</v>
      </c>
      <c r="BA79" s="1617">
        <v>79</v>
      </c>
    </row>
    <row r="80" spans="1:53" s="144" customFormat="1" ht="12" customHeight="1">
      <c r="B80" s="144" t="s">
        <v>1063</v>
      </c>
      <c r="G80" s="3116"/>
      <c r="H80" s="3117"/>
      <c r="J80" s="3116"/>
      <c r="K80" s="3117"/>
      <c r="L80" s="815"/>
      <c r="M80" s="3116"/>
      <c r="N80" s="3117"/>
      <c r="P80" s="3116"/>
      <c r="Q80" s="3117"/>
      <c r="S80" s="3116"/>
      <c r="T80" s="3117"/>
      <c r="V80" s="836"/>
      <c r="W80" s="3243"/>
      <c r="X80" s="3244"/>
      <c r="AZ80" s="1654" t="s">
        <v>4278</v>
      </c>
      <c r="BA80" s="1617">
        <v>80</v>
      </c>
    </row>
    <row r="81" spans="1:53" s="144" customFormat="1" ht="12" customHeight="1">
      <c r="B81" s="144" t="s">
        <v>451</v>
      </c>
      <c r="G81" s="3116">
        <f>50000+25000</f>
        <v>75000</v>
      </c>
      <c r="H81" s="3117"/>
      <c r="J81" s="3116">
        <f>G81</f>
        <v>75000</v>
      </c>
      <c r="K81" s="3117"/>
      <c r="L81" s="815"/>
      <c r="M81" s="3116"/>
      <c r="N81" s="3117"/>
      <c r="P81" s="3116"/>
      <c r="Q81" s="3117"/>
      <c r="S81" s="3116"/>
      <c r="T81" s="3117"/>
      <c r="V81" s="836"/>
      <c r="W81" s="3243"/>
      <c r="X81" s="3244"/>
      <c r="AZ81" s="1650"/>
      <c r="BA81" s="1617">
        <v>81</v>
      </c>
    </row>
    <row r="82" spans="1:53" s="144" customFormat="1" ht="12" customHeight="1">
      <c r="B82" s="144" t="s">
        <v>452</v>
      </c>
      <c r="G82" s="3116">
        <f>75000+124000</f>
        <v>199000</v>
      </c>
      <c r="H82" s="3117"/>
      <c r="J82" s="3116">
        <v>0</v>
      </c>
      <c r="K82" s="3117"/>
      <c r="L82" s="815"/>
      <c r="M82" s="3116"/>
      <c r="N82" s="3117"/>
      <c r="P82" s="3116"/>
      <c r="Q82" s="3117"/>
      <c r="S82" s="3116">
        <f>G82</f>
        <v>199000</v>
      </c>
      <c r="T82" s="3117"/>
      <c r="V82" s="836"/>
      <c r="W82" s="3243"/>
      <c r="X82" s="3244"/>
      <c r="AZ82" s="1654"/>
      <c r="BA82" s="1617">
        <v>82</v>
      </c>
    </row>
    <row r="83" spans="1:53" s="144" customFormat="1" ht="12" customHeight="1">
      <c r="B83" s="144" t="s">
        <v>1894</v>
      </c>
      <c r="G83" s="3116">
        <v>22500</v>
      </c>
      <c r="H83" s="3117"/>
      <c r="J83" s="3116">
        <f>G83</f>
        <v>22500</v>
      </c>
      <c r="K83" s="3117"/>
      <c r="L83" s="815"/>
      <c r="M83" s="3116"/>
      <c r="N83" s="3117"/>
      <c r="P83" s="3116"/>
      <c r="Q83" s="3117"/>
      <c r="S83" s="3116"/>
      <c r="T83" s="3117"/>
      <c r="V83" s="836"/>
      <c r="W83" s="3243"/>
      <c r="X83" s="3244"/>
      <c r="AZ83" s="1654"/>
      <c r="BA83" s="1617">
        <v>83</v>
      </c>
    </row>
    <row r="84" spans="1:53" s="144" customFormat="1" ht="12" customHeight="1">
      <c r="B84" s="144" t="s">
        <v>1199</v>
      </c>
      <c r="G84" s="3116">
        <f>10000+20000</f>
        <v>30000</v>
      </c>
      <c r="H84" s="3117"/>
      <c r="J84" s="3116">
        <f>G84</f>
        <v>30000</v>
      </c>
      <c r="K84" s="3117"/>
      <c r="L84" s="815"/>
      <c r="M84" s="3116"/>
      <c r="N84" s="3117"/>
      <c r="P84" s="3116"/>
      <c r="Q84" s="3117"/>
      <c r="S84" s="3116"/>
      <c r="T84" s="3117"/>
      <c r="V84" s="836"/>
      <c r="W84" s="3243"/>
      <c r="X84" s="3244"/>
      <c r="AZ84" s="1654"/>
      <c r="BA84" s="1617">
        <v>84</v>
      </c>
    </row>
    <row r="85" spans="1:53" s="144" customFormat="1" ht="12" customHeight="1" thickBot="1">
      <c r="A85" s="303" t="str">
        <f>IF(AND(G85&gt;0,OR(C85="",C85="&lt;Enter detailed description here; use Comments section if needed&gt;")),"X","")</f>
        <v/>
      </c>
      <c r="B85" s="147" t="s">
        <v>4177</v>
      </c>
      <c r="C85" s="3245" t="s">
        <v>4616</v>
      </c>
      <c r="D85" s="3245"/>
      <c r="E85" s="3245"/>
      <c r="F85" s="3246"/>
      <c r="G85" s="3130"/>
      <c r="H85" s="3131"/>
      <c r="J85" s="3130"/>
      <c r="K85" s="3131"/>
      <c r="L85" s="815"/>
      <c r="M85" s="3130"/>
      <c r="N85" s="3131"/>
      <c r="P85" s="3130"/>
      <c r="Q85" s="3131"/>
      <c r="S85" s="3130"/>
      <c r="T85" s="3131"/>
      <c r="U85" s="302" t="str">
        <f>IF(AND(G85&gt;0,OR(C85="",C85="&lt;Enter detailed description here; use Comments section if needed&gt;")),"NO DESCRIPTION PROVIDED - please enter detailed description in Other box at left; use Comments section below if needed.","")</f>
        <v/>
      </c>
      <c r="V85" s="836"/>
      <c r="W85" s="3247"/>
      <c r="X85" s="3248"/>
      <c r="AZ85" s="1654"/>
      <c r="BA85" s="1617">
        <v>85</v>
      </c>
    </row>
    <row r="86" spans="1:53" s="144" customFormat="1" ht="12" customHeight="1" thickTop="1">
      <c r="F86" s="281" t="s">
        <v>184</v>
      </c>
      <c r="G86" s="3249">
        <f>SUM(G75:G85)</f>
        <v>852500</v>
      </c>
      <c r="H86" s="3250"/>
      <c r="J86" s="3249">
        <f>SUM(J75:J85)</f>
        <v>653500</v>
      </c>
      <c r="K86" s="3250"/>
      <c r="L86" s="283"/>
      <c r="M86" s="3249">
        <f>SUM(M75:M85)</f>
        <v>0</v>
      </c>
      <c r="N86" s="3250"/>
      <c r="P86" s="3249">
        <f>SUM(P75:P85)</f>
        <v>0</v>
      </c>
      <c r="Q86" s="3250"/>
      <c r="S86" s="3249">
        <f>SUM(S75:S85)</f>
        <v>199000</v>
      </c>
      <c r="T86" s="3250"/>
      <c r="V86" s="838">
        <f>SUM(V75:V85)</f>
        <v>0</v>
      </c>
      <c r="W86" s="3251"/>
      <c r="X86" s="3252"/>
      <c r="AZ86" s="1654" t="s">
        <v>4279</v>
      </c>
      <c r="BA86" s="1617">
        <v>86</v>
      </c>
    </row>
    <row r="87" spans="1:53" ht="12" customHeight="1">
      <c r="A87" s="144"/>
      <c r="B87" s="243" t="s">
        <v>1191</v>
      </c>
      <c r="C87" s="144"/>
      <c r="D87" s="678" t="s">
        <v>3146</v>
      </c>
      <c r="E87" s="750">
        <f>G92/'Part V-Revenues &amp; Expenses'!$P$67</f>
        <v>6182.1875</v>
      </c>
      <c r="F87" s="144"/>
      <c r="G87" s="144"/>
      <c r="H87" s="144"/>
      <c r="I87" s="144"/>
      <c r="J87" s="283"/>
      <c r="K87" s="283"/>
      <c r="M87" s="283"/>
      <c r="N87" s="283"/>
      <c r="O87" s="282" t="str">
        <f>B87</f>
        <v>LOCAL GOVERNMENT FEES</v>
      </c>
      <c r="P87" s="283"/>
      <c r="Q87" s="283"/>
      <c r="S87" s="283"/>
      <c r="T87" s="283"/>
      <c r="V87" s="839"/>
      <c r="W87" s="144" t="str">
        <f>B87</f>
        <v>LOCAL GOVERNMENT FEES</v>
      </c>
      <c r="AZ87" s="1654"/>
      <c r="BA87" s="1617">
        <v>87</v>
      </c>
    </row>
    <row r="88" spans="1:53" s="144" customFormat="1" ht="12" customHeight="1">
      <c r="B88" s="144" t="s">
        <v>1192</v>
      </c>
      <c r="G88" s="3141">
        <v>40636</v>
      </c>
      <c r="H88" s="3142"/>
      <c r="J88" s="3141">
        <f t="shared" ref="J88:J91" si="3">G88</f>
        <v>40636</v>
      </c>
      <c r="K88" s="3142"/>
      <c r="L88" s="815"/>
      <c r="M88" s="3141"/>
      <c r="N88" s="3142"/>
      <c r="P88" s="3141"/>
      <c r="Q88" s="3142"/>
      <c r="S88" s="3141"/>
      <c r="T88" s="3142"/>
      <c r="V88" s="836"/>
      <c r="W88" s="3243"/>
      <c r="X88" s="3244"/>
      <c r="AZ88" s="1654"/>
      <c r="BA88" s="1617">
        <v>88</v>
      </c>
    </row>
    <row r="89" spans="1:53" s="144" customFormat="1" ht="12" customHeight="1">
      <c r="B89" s="144" t="s">
        <v>1193</v>
      </c>
      <c r="G89" s="3116">
        <f>453939-SUM(G90:H91)</f>
        <v>250439</v>
      </c>
      <c r="H89" s="3117"/>
      <c r="J89" s="3116">
        <f t="shared" si="3"/>
        <v>250439</v>
      </c>
      <c r="K89" s="3117"/>
      <c r="L89" s="815"/>
      <c r="M89" s="3116"/>
      <c r="N89" s="3117"/>
      <c r="P89" s="3116"/>
      <c r="Q89" s="3117"/>
      <c r="S89" s="3116"/>
      <c r="T89" s="3117"/>
      <c r="V89" s="836"/>
      <c r="W89" s="3243"/>
      <c r="X89" s="3244"/>
      <c r="AZ89" s="1654"/>
      <c r="BA89" s="1617">
        <v>89</v>
      </c>
    </row>
    <row r="90" spans="1:53" s="144" customFormat="1" ht="12" customHeight="1">
      <c r="B90" s="144" t="s">
        <v>1194</v>
      </c>
      <c r="D90" s="289" t="s">
        <v>1322</v>
      </c>
      <c r="E90" s="850"/>
      <c r="G90" s="3116">
        <v>78500</v>
      </c>
      <c r="H90" s="3117"/>
      <c r="I90" s="145"/>
      <c r="J90" s="3116">
        <f t="shared" si="3"/>
        <v>78500</v>
      </c>
      <c r="K90" s="3117"/>
      <c r="L90" s="815"/>
      <c r="M90" s="3116"/>
      <c r="N90" s="3117"/>
      <c r="P90" s="3116"/>
      <c r="Q90" s="3117"/>
      <c r="S90" s="3116"/>
      <c r="T90" s="3117"/>
      <c r="V90" s="836"/>
      <c r="W90" s="3243"/>
      <c r="X90" s="3244"/>
      <c r="AZ90" s="1654"/>
      <c r="BA90" s="1617">
        <v>90</v>
      </c>
    </row>
    <row r="91" spans="1:53" s="144" customFormat="1" ht="12" customHeight="1" thickBot="1">
      <c r="B91" s="144" t="s">
        <v>1195</v>
      </c>
      <c r="D91" s="289" t="s">
        <v>1322</v>
      </c>
      <c r="E91" s="851"/>
      <c r="G91" s="3130">
        <v>125000</v>
      </c>
      <c r="H91" s="3131"/>
      <c r="I91" s="145"/>
      <c r="J91" s="3130">
        <f t="shared" si="3"/>
        <v>125000</v>
      </c>
      <c r="K91" s="3131"/>
      <c r="L91" s="815"/>
      <c r="M91" s="3130"/>
      <c r="N91" s="3131"/>
      <c r="P91" s="3130"/>
      <c r="Q91" s="3131"/>
      <c r="S91" s="3130"/>
      <c r="T91" s="3131"/>
      <c r="V91" s="836"/>
      <c r="W91" s="3247"/>
      <c r="X91" s="3248"/>
      <c r="AZ91" s="1654"/>
      <c r="BA91" s="1617">
        <v>91</v>
      </c>
    </row>
    <row r="92" spans="1:53" s="144" customFormat="1" ht="12" customHeight="1" thickTop="1">
      <c r="F92" s="281" t="s">
        <v>184</v>
      </c>
      <c r="G92" s="3249">
        <f>SUM(G88:G91)</f>
        <v>494575</v>
      </c>
      <c r="H92" s="3250"/>
      <c r="J92" s="3249">
        <f>SUM(J88:J91)</f>
        <v>494575</v>
      </c>
      <c r="K92" s="3250"/>
      <c r="L92" s="283"/>
      <c r="M92" s="3249">
        <f>SUM(M88:M91)</f>
        <v>0</v>
      </c>
      <c r="N92" s="3250"/>
      <c r="P92" s="3249">
        <f>SUM(P88:P91)</f>
        <v>0</v>
      </c>
      <c r="Q92" s="3250"/>
      <c r="S92" s="3249">
        <f>SUM(S88:S91)</f>
        <v>0</v>
      </c>
      <c r="T92" s="3250"/>
      <c r="V92" s="838">
        <f>SUM(V88:V91)</f>
        <v>0</v>
      </c>
      <c r="W92" s="3251"/>
      <c r="X92" s="3252"/>
      <c r="AZ92" s="1654"/>
      <c r="BA92" s="1617">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4"/>
      <c r="BA93" s="1617">
        <v>93</v>
      </c>
    </row>
    <row r="94" spans="1:53" s="144" customFormat="1" ht="18" customHeight="1" thickBot="1">
      <c r="A94" s="342" t="s">
        <v>572</v>
      </c>
      <c r="B94" s="342" t="s">
        <v>2516</v>
      </c>
      <c r="J94" s="3233" t="s">
        <v>259</v>
      </c>
      <c r="K94" s="3234"/>
      <c r="L94" s="280"/>
      <c r="M94" s="3237" t="s">
        <v>459</v>
      </c>
      <c r="N94" s="3238"/>
      <c r="P94" s="3233" t="s">
        <v>260</v>
      </c>
      <c r="Q94" s="3234"/>
      <c r="S94" s="3233" t="s">
        <v>261</v>
      </c>
      <c r="T94" s="3234"/>
      <c r="V94" s="343" t="str">
        <f>B94</f>
        <v>DEVELOPMENT BUDGET  (cont'd)</v>
      </c>
      <c r="AZ94" s="1654"/>
      <c r="BA94" s="1617">
        <v>94</v>
      </c>
    </row>
    <row r="95" spans="1:53" s="144" customFormat="1" ht="18" customHeight="1" thickBot="1">
      <c r="G95" s="3241" t="s">
        <v>95</v>
      </c>
      <c r="H95" s="3242"/>
      <c r="J95" s="3235"/>
      <c r="K95" s="3236"/>
      <c r="L95" s="280"/>
      <c r="M95" s="3239"/>
      <c r="N95" s="3240"/>
      <c r="P95" s="3235"/>
      <c r="Q95" s="3236"/>
      <c r="S95" s="3235"/>
      <c r="T95" s="3236"/>
      <c r="V95" s="253" t="s">
        <v>2441</v>
      </c>
      <c r="X95" s="253"/>
      <c r="AZ95" s="1654"/>
      <c r="BA95" s="1617">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4" t="s">
        <v>4280</v>
      </c>
      <c r="BA96" s="1617">
        <v>96</v>
      </c>
    </row>
    <row r="97" spans="1:53" s="144" customFormat="1" ht="12" customHeight="1">
      <c r="B97" s="144" t="s">
        <v>1196</v>
      </c>
      <c r="G97" s="3141">
        <v>165500</v>
      </c>
      <c r="H97" s="3142"/>
      <c r="J97" s="3291"/>
      <c r="K97" s="3291"/>
      <c r="L97" s="815"/>
      <c r="M97" s="3291"/>
      <c r="N97" s="3291"/>
      <c r="P97" s="3291"/>
      <c r="Q97" s="3291"/>
      <c r="S97" s="3141">
        <f>G97</f>
        <v>165500</v>
      </c>
      <c r="T97" s="3142"/>
      <c r="V97" s="836"/>
      <c r="W97" s="3243"/>
      <c r="X97" s="3244"/>
      <c r="AZ97" s="1654" t="s">
        <v>4281</v>
      </c>
      <c r="BA97" s="1617">
        <v>97</v>
      </c>
    </row>
    <row r="98" spans="1:53" s="144" customFormat="1" ht="12" customHeight="1">
      <c r="B98" s="144" t="s">
        <v>1197</v>
      </c>
      <c r="G98" s="3116"/>
      <c r="H98" s="3117"/>
      <c r="J98" s="3291"/>
      <c r="K98" s="3291"/>
      <c r="L98" s="815"/>
      <c r="M98" s="3291"/>
      <c r="N98" s="3291"/>
      <c r="P98" s="3291"/>
      <c r="Q98" s="3291"/>
      <c r="S98" s="3116"/>
      <c r="T98" s="3117"/>
      <c r="V98" s="836"/>
      <c r="W98" s="3243"/>
      <c r="X98" s="3244"/>
      <c r="AZ98" s="1654"/>
      <c r="BA98" s="1617">
        <v>98</v>
      </c>
    </row>
    <row r="99" spans="1:53" s="144" customFormat="1" ht="12" customHeight="1">
      <c r="B99" s="144" t="s">
        <v>1198</v>
      </c>
      <c r="G99" s="3116"/>
      <c r="H99" s="3117"/>
      <c r="J99" s="3291"/>
      <c r="K99" s="3291"/>
      <c r="L99" s="815"/>
      <c r="M99" s="3291"/>
      <c r="N99" s="3291"/>
      <c r="P99" s="3291"/>
      <c r="Q99" s="3291"/>
      <c r="S99" s="3116"/>
      <c r="T99" s="3117"/>
      <c r="V99" s="836"/>
      <c r="W99" s="3243"/>
      <c r="X99" s="3244"/>
      <c r="AZ99" s="1654"/>
      <c r="BA99" s="1617">
        <v>99</v>
      </c>
    </row>
    <row r="100" spans="1:53" s="144" customFormat="1" ht="12" customHeight="1">
      <c r="B100" s="144" t="s">
        <v>1200</v>
      </c>
      <c r="G100" s="3116"/>
      <c r="H100" s="3117"/>
      <c r="J100" s="3291"/>
      <c r="K100" s="3291"/>
      <c r="L100" s="815"/>
      <c r="M100" s="3291"/>
      <c r="N100" s="3291"/>
      <c r="P100" s="3291"/>
      <c r="Q100" s="3291"/>
      <c r="S100" s="3116"/>
      <c r="T100" s="3117"/>
      <c r="V100" s="836"/>
      <c r="W100" s="3243"/>
      <c r="X100" s="3244"/>
      <c r="AZ100" s="1654"/>
      <c r="BA100" s="1617">
        <v>100</v>
      </c>
    </row>
    <row r="101" spans="1:53" s="144" customFormat="1" ht="12" customHeight="1">
      <c r="B101" s="144" t="s">
        <v>2115</v>
      </c>
      <c r="G101" s="3116"/>
      <c r="H101" s="3117"/>
      <c r="J101" s="3291"/>
      <c r="K101" s="3291"/>
      <c r="L101" s="815"/>
      <c r="M101" s="3291"/>
      <c r="N101" s="3291"/>
      <c r="P101" s="3291"/>
      <c r="Q101" s="3291"/>
      <c r="S101" s="3116"/>
      <c r="T101" s="3117"/>
      <c r="V101" s="836"/>
      <c r="W101" s="3243"/>
      <c r="X101" s="3244"/>
      <c r="AZ101" s="1654"/>
      <c r="BA101" s="1617">
        <v>101</v>
      </c>
    </row>
    <row r="102" spans="1:53" s="144" customFormat="1" ht="12" customHeight="1" thickBot="1">
      <c r="A102" s="303" t="str">
        <f>IF(AND(G102&gt;0,OR(C102="",C102="&lt;Enter detailed description here; use Comments section if needed&gt;")),"X","")</f>
        <v/>
      </c>
      <c r="B102" s="147" t="s">
        <v>4178</v>
      </c>
      <c r="C102" s="3245" t="s">
        <v>4616</v>
      </c>
      <c r="D102" s="3245"/>
      <c r="E102" s="3245"/>
      <c r="F102" s="3246"/>
      <c r="G102" s="3130"/>
      <c r="H102" s="3131"/>
      <c r="J102" s="3291"/>
      <c r="K102" s="3291"/>
      <c r="L102" s="815"/>
      <c r="M102" s="3291"/>
      <c r="N102" s="3291"/>
      <c r="P102" s="3291"/>
      <c r="Q102" s="3291"/>
      <c r="S102" s="3130"/>
      <c r="T102" s="3131"/>
      <c r="U102" s="302" t="str">
        <f>IF(AND(G102&gt;0,OR(C102="",C102="&lt;Enter detailed description here; use Comments section if needed&gt;")),"NO DESCRIPTION PROVIDED - please enter detailed description in Other box at left; use Comments section below if needed.","")</f>
        <v/>
      </c>
      <c r="V102" s="836"/>
      <c r="W102" s="3247"/>
      <c r="X102" s="3248"/>
      <c r="AZ102" s="1654"/>
      <c r="BA102" s="1617">
        <v>102</v>
      </c>
    </row>
    <row r="103" spans="1:53" s="144" customFormat="1" ht="12" customHeight="1" thickTop="1">
      <c r="F103" s="281" t="s">
        <v>184</v>
      </c>
      <c r="G103" s="3249">
        <f>SUM(G97:G102)</f>
        <v>165500</v>
      </c>
      <c r="H103" s="3250"/>
      <c r="J103" s="3291"/>
      <c r="K103" s="3291"/>
      <c r="L103" s="283"/>
      <c r="M103" s="3291"/>
      <c r="N103" s="3291"/>
      <c r="P103" s="3291"/>
      <c r="Q103" s="3291"/>
      <c r="S103" s="3249">
        <f>SUM(S97:S102)</f>
        <v>165500</v>
      </c>
      <c r="T103" s="3250"/>
      <c r="V103" s="838">
        <f>SUM(V97:V102)</f>
        <v>0</v>
      </c>
      <c r="W103" s="3251"/>
      <c r="X103" s="3252"/>
      <c r="AZ103" s="1654"/>
      <c r="BA103" s="1617">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3802</v>
      </c>
      <c r="AB104" s="147"/>
      <c r="AC104" s="147"/>
      <c r="AD104" s="1839" t="str">
        <f>IF(OR($M$38="9% Credit Competitive Round only", $M$38="9% Credit &amp; HOME"),"9%",IF(OR($M$38="4% Credit/TE Bond", $M$38="4% Credit/TE Bond &amp; HOME", $M$38="4% Credit/TE Bond &amp; HOME NOFA", $M$38="4% Credit &amp; NHTF", $M$38="4% Credit &amp; NHTF &amp; HOME"),"4%",""))</f>
        <v/>
      </c>
      <c r="AZ104" s="1654"/>
      <c r="BA104" s="1617">
        <v>104</v>
      </c>
    </row>
    <row r="105" spans="1:53" s="144" customFormat="1" ht="12.6" customHeight="1">
      <c r="B105" s="144" t="s">
        <v>5010</v>
      </c>
      <c r="G105" s="3141"/>
      <c r="H105" s="3142"/>
      <c r="J105" s="283"/>
      <c r="K105" s="283"/>
      <c r="L105" s="815"/>
      <c r="M105" s="283"/>
      <c r="N105" s="283"/>
      <c r="P105" s="283"/>
      <c r="Q105" s="283"/>
      <c r="S105" s="3141">
        <f>G105</f>
        <v>0</v>
      </c>
      <c r="T105" s="3142"/>
      <c r="V105" s="836"/>
      <c r="W105" s="3243"/>
      <c r="X105" s="3244"/>
      <c r="Y105" s="3292" t="s">
        <v>4598</v>
      </c>
      <c r="AA105" s="236" t="s">
        <v>4542</v>
      </c>
      <c r="AB105" s="147"/>
      <c r="AC105" s="147"/>
      <c r="AD105" s="1838" t="str">
        <f>'Part V-Revenues &amp; Expenses'!$O$53</f>
        <v>40% of Units at 60% of AMI</v>
      </c>
      <c r="AE105" s="1837"/>
      <c r="AF105" s="1837"/>
      <c r="AZ105" s="1654"/>
      <c r="BA105" s="1617">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6">
        <v>10000</v>
      </c>
      <c r="H106" s="3117"/>
      <c r="J106" s="283"/>
      <c r="K106" s="283"/>
      <c r="L106" s="290"/>
      <c r="M106" s="283"/>
      <c r="N106" s="283"/>
      <c r="P106" s="283"/>
      <c r="Q106" s="283"/>
      <c r="S106" s="3116">
        <f t="shared" ref="S106:S113" si="4">G106</f>
        <v>10000</v>
      </c>
      <c r="T106" s="3117"/>
      <c r="V106" s="836"/>
      <c r="W106" s="3243"/>
      <c r="X106" s="3244"/>
      <c r="Y106" s="3292"/>
      <c r="AA106" s="1840" t="s">
        <v>3067</v>
      </c>
      <c r="AB106" s="1840"/>
      <c r="AC106" s="1840"/>
      <c r="AD106" s="1841">
        <f>'Part V-Revenues &amp; Expenses'!$P$67</f>
        <v>80</v>
      </c>
      <c r="AZ106" s="1654" t="s">
        <v>4282</v>
      </c>
      <c r="BA106" s="1617">
        <v>106</v>
      </c>
    </row>
    <row r="107" spans="1:53" s="144" customFormat="1" ht="12.6" customHeight="1">
      <c r="B107" s="144" t="s">
        <v>5011</v>
      </c>
      <c r="G107" s="3116">
        <f>2000+1500</f>
        <v>3500</v>
      </c>
      <c r="H107" s="3117"/>
      <c r="J107" s="283"/>
      <c r="K107" s="283"/>
      <c r="L107" s="290"/>
      <c r="M107" s="283"/>
      <c r="N107" s="283"/>
      <c r="P107" s="283"/>
      <c r="Q107" s="283"/>
      <c r="S107" s="3116">
        <f t="shared" si="4"/>
        <v>3500</v>
      </c>
      <c r="T107" s="3117"/>
      <c r="V107" s="836"/>
      <c r="W107" s="3243"/>
      <c r="X107" s="3244"/>
      <c r="Y107" s="3292"/>
      <c r="Z107" s="301"/>
      <c r="AA107" s="225" t="s">
        <v>4603</v>
      </c>
      <c r="AB107" s="147"/>
      <c r="AC107" s="147"/>
      <c r="AD107" s="147"/>
      <c r="AF107" s="1845" t="s">
        <v>4604</v>
      </c>
      <c r="AZ107" s="1654" t="s">
        <v>4283</v>
      </c>
      <c r="BA107" s="1617">
        <v>107</v>
      </c>
    </row>
    <row r="108" spans="1:53" s="144" customFormat="1" ht="12.6" customHeight="1">
      <c r="B108" s="144" t="s">
        <v>485</v>
      </c>
      <c r="E108" s="3293">
        <f>ROUNDUP('DCA Underwriting Assumptions'!$Q$70*J191,0)</f>
        <v>108000</v>
      </c>
      <c r="F108" s="3294"/>
      <c r="G108" s="3116">
        <v>108000</v>
      </c>
      <c r="H108" s="3117"/>
      <c r="J108" s="751" t="str">
        <f>IF(E108&gt;G108,"WARNING!  LIHTC Allocation Fee proposed is below minimum required.","")</f>
        <v/>
      </c>
      <c r="K108" s="283"/>
      <c r="L108" s="815"/>
      <c r="M108" s="283"/>
      <c r="N108" s="283"/>
      <c r="P108" s="283"/>
      <c r="Q108" s="283"/>
      <c r="S108" s="3116">
        <f t="shared" si="4"/>
        <v>108000</v>
      </c>
      <c r="T108" s="3117"/>
      <c r="V108" s="836"/>
      <c r="W108" s="3243"/>
      <c r="X108" s="3244"/>
      <c r="Y108" s="3292"/>
      <c r="Z108" s="301"/>
      <c r="AA108" s="147" t="s">
        <v>4599</v>
      </c>
      <c r="AB108" s="147"/>
      <c r="AC108" s="147"/>
      <c r="AD108" s="234">
        <f>'Part V-Revenues &amp; Expenses'!P140+'Part V-Revenues &amp; Expenses'!P141</f>
        <v>0</v>
      </c>
      <c r="AF108" s="1843">
        <f>AD108*'DCA Underwriting Assumptions'!$Q$77</f>
        <v>0</v>
      </c>
      <c r="AZ108" s="1654" t="s">
        <v>4284</v>
      </c>
      <c r="BA108" s="1617">
        <v>108</v>
      </c>
    </row>
    <row r="109" spans="1:53" s="144" customFormat="1" ht="12.6" customHeight="1">
      <c r="B109" s="144" t="s">
        <v>701</v>
      </c>
      <c r="E109" s="3293">
        <f>AF111+AF115</f>
        <v>64000</v>
      </c>
      <c r="F109" s="3294"/>
      <c r="G109" s="3116">
        <v>64000</v>
      </c>
      <c r="H109" s="3117"/>
      <c r="I109" s="3295" t="str">
        <f>IF(E109&gt;G109,"WARNING!  LIHTC Compliance Fee proposed is below minimum required.","")</f>
        <v/>
      </c>
      <c r="J109" s="3296"/>
      <c r="K109" s="3296"/>
      <c r="L109" s="3296"/>
      <c r="M109" s="3296"/>
      <c r="N109" s="3296"/>
      <c r="O109" s="3296"/>
      <c r="P109" s="3296"/>
      <c r="Q109" s="3296"/>
      <c r="R109" s="3297"/>
      <c r="S109" s="3116">
        <f t="shared" si="4"/>
        <v>64000</v>
      </c>
      <c r="T109" s="3117"/>
      <c r="V109" s="836"/>
      <c r="W109" s="3243"/>
      <c r="X109" s="3244"/>
      <c r="Y109" s="3292"/>
      <c r="Z109" s="301"/>
      <c r="AA109" s="147" t="s">
        <v>4186</v>
      </c>
      <c r="AB109" s="147"/>
      <c r="AC109" s="147"/>
      <c r="AD109" s="234">
        <f>'Part V-Revenues &amp; Expenses'!$P$144+'Part V-Revenues &amp; Expenses'!$P$145</f>
        <v>0</v>
      </c>
      <c r="AF109" s="1843">
        <f>AD109*'DCA Underwriting Assumptions'!$Q$77</f>
        <v>0</v>
      </c>
      <c r="AZ109" s="1654"/>
      <c r="BA109" s="1617">
        <v>109</v>
      </c>
    </row>
    <row r="110" spans="1:53" s="144" customFormat="1" ht="12.6" customHeight="1">
      <c r="B110" s="144" t="s">
        <v>3363</v>
      </c>
      <c r="F110" s="956"/>
      <c r="G110" s="3116"/>
      <c r="H110" s="3117"/>
      <c r="I110" s="3295"/>
      <c r="J110" s="3296"/>
      <c r="K110" s="3296"/>
      <c r="L110" s="3296"/>
      <c r="M110" s="3296"/>
      <c r="N110" s="3296"/>
      <c r="O110" s="3296"/>
      <c r="P110" s="3296"/>
      <c r="Q110" s="3296"/>
      <c r="R110" s="3297"/>
      <c r="S110" s="3116">
        <f t="shared" si="4"/>
        <v>0</v>
      </c>
      <c r="T110" s="3117"/>
      <c r="V110" s="836"/>
      <c r="W110" s="3243"/>
      <c r="X110" s="3244"/>
      <c r="Y110" s="3292"/>
      <c r="AA110" s="147" t="s">
        <v>4600</v>
      </c>
      <c r="AB110" s="147"/>
      <c r="AC110" s="147"/>
      <c r="AD110" s="234">
        <f>'Part V-Revenues &amp; Expenses'!$P$146+'Part V-Revenues &amp; Expenses'!$P$147</f>
        <v>0</v>
      </c>
      <c r="AF110" s="1843">
        <f>AD110*'DCA Underwriting Assumptions'!$Q$77</f>
        <v>0</v>
      </c>
      <c r="AZ110" s="1654"/>
      <c r="BA110" s="1617">
        <v>110</v>
      </c>
    </row>
    <row r="111" spans="1:53" s="144" customFormat="1" ht="12.6" customHeight="1">
      <c r="B111" s="144" t="s">
        <v>4741</v>
      </c>
      <c r="F111" s="956">
        <f>ROUNDUP('DCA Underwriting Assumptions'!$Q$73,0)</f>
        <v>8000</v>
      </c>
      <c r="G111" s="3116">
        <v>8000</v>
      </c>
      <c r="H111" s="3117"/>
      <c r="J111" s="145"/>
      <c r="K111" s="145"/>
      <c r="L111" s="145"/>
      <c r="M111" s="145"/>
      <c r="N111" s="145"/>
      <c r="O111" s="145"/>
      <c r="P111" s="145"/>
      <c r="Q111" s="145"/>
      <c r="S111" s="3116">
        <f t="shared" si="4"/>
        <v>8000</v>
      </c>
      <c r="T111" s="3117"/>
      <c r="V111" s="836"/>
      <c r="W111" s="3243"/>
      <c r="X111" s="3244"/>
      <c r="AA111" s="147"/>
      <c r="AB111" s="1459" t="s">
        <v>4601</v>
      </c>
      <c r="AC111" s="147"/>
      <c r="AD111" s="1842">
        <f>SUM(AD108:AD110)</f>
        <v>0</v>
      </c>
      <c r="AF111" s="1844">
        <f>SUM(AF108:AF110)</f>
        <v>0</v>
      </c>
      <c r="AZ111" s="1654"/>
      <c r="BA111" s="1617">
        <v>111</v>
      </c>
    </row>
    <row r="112" spans="1:53" s="144" customFormat="1" ht="12.6" customHeight="1">
      <c r="A112" s="303" t="str">
        <f>IF(AND(G112&gt;0,OR(C112="",C112="&lt;Enter detailed description here; use Comments section if needed&gt;")),"X","")</f>
        <v/>
      </c>
      <c r="B112" s="147" t="s">
        <v>4174</v>
      </c>
      <c r="C112" s="3289" t="s">
        <v>4616</v>
      </c>
      <c r="D112" s="3289"/>
      <c r="E112" s="3289"/>
      <c r="F112" s="3290"/>
      <c r="G112" s="3116"/>
      <c r="H112" s="3117"/>
      <c r="J112" s="145"/>
      <c r="K112" s="145"/>
      <c r="L112" s="145"/>
      <c r="M112" s="145"/>
      <c r="N112" s="145"/>
      <c r="O112" s="145"/>
      <c r="P112" s="145"/>
      <c r="Q112" s="145"/>
      <c r="S112" s="3116">
        <f t="shared" si="4"/>
        <v>0</v>
      </c>
      <c r="T112" s="3117"/>
      <c r="U112" s="302" t="str">
        <f>IF(AND(G112&gt;0,OR(C112="",C112="&lt;Enter detailed description here; use Comments section if needed&gt;")),"NO DESCRIPTION PROVIDED - please enter detailed description in Other box at left; use Comments section below if needed.","")</f>
        <v/>
      </c>
      <c r="V112" s="836"/>
      <c r="W112" s="3243"/>
      <c r="X112" s="3244"/>
      <c r="AA112" s="225" t="s">
        <v>4602</v>
      </c>
      <c r="AB112" s="147"/>
      <c r="AC112" s="231"/>
      <c r="AD112" s="147"/>
      <c r="AF112" s="1843"/>
      <c r="AZ112" s="1654"/>
      <c r="BA112" s="1617">
        <v>112</v>
      </c>
    </row>
    <row r="113" spans="1:53" s="144" customFormat="1" ht="12.6" customHeight="1" thickBot="1">
      <c r="A113" s="303" t="str">
        <f>IF(AND(G113&gt;0,OR(C113="",C113="&lt;Enter detailed description here; use Comments section if needed&gt;")),"X","")</f>
        <v/>
      </c>
      <c r="B113" s="147" t="s">
        <v>4174</v>
      </c>
      <c r="C113" s="3287" t="s">
        <v>4616</v>
      </c>
      <c r="D113" s="3287"/>
      <c r="E113" s="3287"/>
      <c r="F113" s="3288"/>
      <c r="G113" s="3130"/>
      <c r="H113" s="3131"/>
      <c r="J113" s="145"/>
      <c r="K113" s="145"/>
      <c r="L113" s="145"/>
      <c r="M113" s="145"/>
      <c r="N113" s="145"/>
      <c r="O113" s="145"/>
      <c r="P113" s="145"/>
      <c r="Q113" s="145"/>
      <c r="S113" s="3130">
        <f t="shared" si="4"/>
        <v>0</v>
      </c>
      <c r="T113" s="3131"/>
      <c r="U113" s="302" t="str">
        <f>IF(AND(G113&gt;0,OR(C113="",C113="&lt;Enter detailed description here; use Comments section if needed&gt;")),"NO DESCRIPTION PROVIDED - please enter detailed description in Other box at left; use Comments section below if needed.","")</f>
        <v/>
      </c>
      <c r="V113" s="836"/>
      <c r="W113" s="3247"/>
      <c r="X113" s="3248"/>
      <c r="AA113" s="147" t="s">
        <v>36</v>
      </c>
      <c r="AB113" s="147"/>
      <c r="AC113" s="231"/>
      <c r="AD113" s="234">
        <f>'Part V-Revenues &amp; Expenses'!$P$131</f>
        <v>80</v>
      </c>
      <c r="AF113" s="1843">
        <f>IF($AD$105="Income Averaging",AD113*'DCA Underwriting Assumptions'!$Q$75,AD113*'DCA Underwriting Assumptions'!$Q$74)</f>
        <v>64000</v>
      </c>
      <c r="AZ113" s="1654" t="s">
        <v>4285</v>
      </c>
      <c r="BA113" s="1617">
        <v>113</v>
      </c>
    </row>
    <row r="114" spans="1:53" s="144" customFormat="1" ht="12.6" customHeight="1" thickTop="1">
      <c r="F114" s="281" t="s">
        <v>184</v>
      </c>
      <c r="G114" s="3249">
        <f>SUM(G105:G113)</f>
        <v>193500</v>
      </c>
      <c r="H114" s="3250"/>
      <c r="J114" s="283"/>
      <c r="K114" s="283"/>
      <c r="L114" s="815"/>
      <c r="M114" s="283"/>
      <c r="N114" s="283"/>
      <c r="P114" s="283"/>
      <c r="Q114" s="283"/>
      <c r="S114" s="3249">
        <f>SUM(S105:S113)</f>
        <v>193500</v>
      </c>
      <c r="T114" s="3250"/>
      <c r="V114" s="838">
        <f>SUM(V105:V113)</f>
        <v>0</v>
      </c>
      <c r="W114" s="3298"/>
      <c r="X114" s="3299"/>
      <c r="AA114" s="147" t="s">
        <v>4380</v>
      </c>
      <c r="AB114" s="147"/>
      <c r="AC114" s="241"/>
      <c r="AD114" s="234">
        <f>'Part V-Revenues &amp; Expenses'!$P$142+'Part V-Revenues &amp; Expenses'!$P$143</f>
        <v>0</v>
      </c>
      <c r="AF114" s="1843">
        <f>IF($AD$105="Income Averaging",AD114*'DCA Underwriting Assumptions'!$Q$75,AD114*'DCA Underwriting Assumptions'!$Q$74)</f>
        <v>0</v>
      </c>
      <c r="AZ114" s="1654" t="s">
        <v>4286</v>
      </c>
      <c r="BA114" s="1617">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59" t="s">
        <v>4601</v>
      </c>
      <c r="AC115" s="147"/>
      <c r="AD115" s="1842">
        <f>SUM(AD113:AD114)</f>
        <v>80</v>
      </c>
      <c r="AF115" s="1844">
        <f>SUM(AF113:AF114)</f>
        <v>64000</v>
      </c>
      <c r="AZ115" s="1630"/>
      <c r="BA115" s="1617">
        <v>115</v>
      </c>
    </row>
    <row r="116" spans="1:53" s="144" customFormat="1" ht="12.6" customHeight="1">
      <c r="B116" s="144" t="s">
        <v>267</v>
      </c>
      <c r="G116" s="3141"/>
      <c r="H116" s="3142"/>
      <c r="J116" s="3291"/>
      <c r="K116" s="3291"/>
      <c r="L116" s="815"/>
      <c r="M116" s="3291"/>
      <c r="N116" s="3291"/>
      <c r="P116" s="3291"/>
      <c r="Q116" s="3291"/>
      <c r="S116" s="3141"/>
      <c r="T116" s="3142"/>
      <c r="V116" s="836"/>
      <c r="W116" s="3243"/>
      <c r="X116" s="3244"/>
      <c r="AZ116" s="1630"/>
      <c r="BA116" s="1617">
        <v>116</v>
      </c>
    </row>
    <row r="117" spans="1:53" s="144" customFormat="1" ht="12.6" customHeight="1">
      <c r="B117" s="144" t="s">
        <v>268</v>
      </c>
      <c r="G117" s="3116"/>
      <c r="H117" s="3117"/>
      <c r="J117" s="3291"/>
      <c r="K117" s="3291"/>
      <c r="L117" s="815"/>
      <c r="M117" s="3291"/>
      <c r="N117" s="3291"/>
      <c r="P117" s="3291"/>
      <c r="Q117" s="3291"/>
      <c r="S117" s="3116"/>
      <c r="T117" s="3117"/>
      <c r="V117" s="836"/>
      <c r="W117" s="3243"/>
      <c r="X117" s="3244"/>
      <c r="AZ117" s="1630"/>
      <c r="BA117" s="1617">
        <v>117</v>
      </c>
    </row>
    <row r="118" spans="1:53" s="144" customFormat="1" ht="12.6" customHeight="1">
      <c r="B118" s="144" t="s">
        <v>2194</v>
      </c>
      <c r="G118" s="3116">
        <v>60000</v>
      </c>
      <c r="H118" s="3117"/>
      <c r="J118" s="3291"/>
      <c r="K118" s="3291"/>
      <c r="L118" s="815"/>
      <c r="M118" s="3291"/>
      <c r="N118" s="3291"/>
      <c r="P118" s="3291"/>
      <c r="Q118" s="3291"/>
      <c r="S118" s="3116">
        <f>G118</f>
        <v>60000</v>
      </c>
      <c r="T118" s="3117"/>
      <c r="V118" s="836"/>
      <c r="W118" s="3243"/>
      <c r="X118" s="3244"/>
      <c r="AZ118" s="1630"/>
      <c r="BA118" s="1617">
        <v>118</v>
      </c>
    </row>
    <row r="119" spans="1:53" s="144" customFormat="1" ht="12.6" customHeight="1" thickBot="1">
      <c r="A119" s="303" t="str">
        <f>IF(AND(G119&gt;0,OR(C119="",C119="&lt;Enter detailed description here; use Comments section if needed&gt;")),"X","")</f>
        <v/>
      </c>
      <c r="B119" s="147" t="s">
        <v>4174</v>
      </c>
      <c r="C119" s="3245" t="s">
        <v>4616</v>
      </c>
      <c r="D119" s="3245"/>
      <c r="E119" s="3245"/>
      <c r="F119" s="3246"/>
      <c r="G119" s="3130"/>
      <c r="H119" s="3131"/>
      <c r="J119" s="3291"/>
      <c r="K119" s="3291"/>
      <c r="L119" s="815"/>
      <c r="M119" s="3291"/>
      <c r="N119" s="3291"/>
      <c r="P119" s="3291"/>
      <c r="Q119" s="3291"/>
      <c r="S119" s="3130"/>
      <c r="T119" s="3131"/>
      <c r="U119" s="302" t="str">
        <f>IF(AND(G119&gt;0,OR(C119="",C119="&lt;Enter detailed description here; use Comments section if needed&gt;")),"NO DESCRIPTION PROVIDED - please enter detailed description in Other box at left; use Comments section below if needed.","")</f>
        <v/>
      </c>
      <c r="V119" s="836"/>
      <c r="W119" s="3247"/>
      <c r="X119" s="3248"/>
      <c r="AZ119" s="1630"/>
      <c r="BA119" s="1617">
        <v>119</v>
      </c>
    </row>
    <row r="120" spans="1:53" s="144" customFormat="1" ht="12.6" customHeight="1" thickTop="1">
      <c r="F120" s="281" t="s">
        <v>184</v>
      </c>
      <c r="G120" s="3249">
        <f>SUM(G116:G119)</f>
        <v>60000</v>
      </c>
      <c r="H120" s="3250"/>
      <c r="J120" s="3291"/>
      <c r="K120" s="3291"/>
      <c r="L120" s="815"/>
      <c r="M120" s="3291"/>
      <c r="N120" s="3291"/>
      <c r="P120" s="3291"/>
      <c r="Q120" s="3291"/>
      <c r="S120" s="3249">
        <f>SUM(S116:S119)</f>
        <v>60000</v>
      </c>
      <c r="T120" s="3250"/>
      <c r="V120" s="838">
        <f>SUM(V116:V119)</f>
        <v>0</v>
      </c>
      <c r="W120" s="3251"/>
      <c r="X120" s="3252"/>
      <c r="AC120" s="3300" t="s">
        <v>3799</v>
      </c>
      <c r="AD120" s="3300" t="s">
        <v>3800</v>
      </c>
      <c r="AE120" s="3302" t="s">
        <v>3803</v>
      </c>
      <c r="AF120" s="3303" t="s">
        <v>3801</v>
      </c>
      <c r="AG120" s="3302" t="s">
        <v>3792</v>
      </c>
      <c r="AH120" s="3305" t="s">
        <v>4636</v>
      </c>
      <c r="AI120" s="3305"/>
      <c r="AZ120" s="1630"/>
      <c r="BA120" s="1617">
        <v>120</v>
      </c>
    </row>
    <row r="121" spans="1:53" s="144" customFormat="1" ht="13.35" customHeight="1">
      <c r="B121" s="243" t="s">
        <v>269</v>
      </c>
      <c r="E121" s="484" t="s">
        <v>3802</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3790</v>
      </c>
      <c r="Z121" s="236"/>
      <c r="AA121" s="231" t="s">
        <v>3796</v>
      </c>
      <c r="AB121" s="231" t="s">
        <v>3797</v>
      </c>
      <c r="AC121" s="3301"/>
      <c r="AD121" s="3301"/>
      <c r="AE121" s="3037"/>
      <c r="AF121" s="3304"/>
      <c r="AG121" s="3302"/>
      <c r="AH121" s="3305"/>
      <c r="AI121" s="3305"/>
      <c r="AK121" s="44"/>
      <c r="AZ121" s="1630" t="s">
        <v>4287</v>
      </c>
      <c r="BA121" s="1617">
        <v>121</v>
      </c>
    </row>
    <row r="122" spans="1:53" s="144" customFormat="1" ht="12.6" customHeight="1">
      <c r="B122" s="144" t="s">
        <v>1719</v>
      </c>
      <c r="F122" s="322">
        <f>IF($G$127=0,0,G122/$G$127)</f>
        <v>0.19090909090909092</v>
      </c>
      <c r="G122" s="3318">
        <v>378000</v>
      </c>
      <c r="H122" s="3318"/>
      <c r="J122" s="3319">
        <f>G122</f>
        <v>378000</v>
      </c>
      <c r="K122" s="3320"/>
      <c r="L122" s="282"/>
      <c r="M122" s="3319"/>
      <c r="N122" s="3320"/>
      <c r="P122" s="3319"/>
      <c r="Q122" s="3320"/>
      <c r="S122" s="3319"/>
      <c r="T122" s="3320"/>
      <c r="V122" s="836"/>
      <c r="W122" s="3243"/>
      <c r="X122" s="3244"/>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6">
        <f>SUM(AE122:AE124)</f>
        <v>1980000</v>
      </c>
      <c r="AG122" s="3309">
        <f>'DCA Underwriting Assumptions'!$Q$89</f>
        <v>2285000</v>
      </c>
      <c r="AH122" s="3312">
        <f>MIN(AF122,AG122)</f>
        <v>1980000</v>
      </c>
      <c r="AI122" s="3313"/>
      <c r="AZ122" s="1630"/>
      <c r="BA122" s="1617">
        <v>122</v>
      </c>
    </row>
    <row r="123" spans="1:53" s="144" customFormat="1" ht="12.6" customHeight="1">
      <c r="B123" s="144" t="s">
        <v>3325</v>
      </c>
      <c r="F123" s="936">
        <f>G122</f>
        <v>378000</v>
      </c>
      <c r="G123" s="241" t="s">
        <v>4617</v>
      </c>
      <c r="V123" s="836"/>
      <c r="W123" s="3243"/>
      <c r="X123" s="3244"/>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7"/>
      <c r="AG123" s="3310"/>
      <c r="AH123" s="3314"/>
      <c r="AI123" s="3315"/>
      <c r="AZ123" s="1630"/>
      <c r="BA123" s="1617">
        <v>123</v>
      </c>
    </row>
    <row r="124" spans="1:53" s="144" customFormat="1" ht="12.6" customHeight="1">
      <c r="B124" s="144" t="s">
        <v>1720</v>
      </c>
      <c r="F124" s="322">
        <f>IF($G$127=0,0,G124/$G$127)</f>
        <v>0</v>
      </c>
      <c r="G124" s="3141"/>
      <c r="H124" s="3142"/>
      <c r="J124" s="3141"/>
      <c r="K124" s="3142"/>
      <c r="L124" s="815"/>
      <c r="M124" s="3141"/>
      <c r="N124" s="3142"/>
      <c r="P124" s="3141"/>
      <c r="Q124" s="3142"/>
      <c r="S124" s="3141"/>
      <c r="T124" s="3142"/>
      <c r="V124" s="836"/>
      <c r="W124" s="3243"/>
      <c r="X124" s="3244"/>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165000</v>
      </c>
      <c r="AF124" s="3308"/>
      <c r="AG124" s="3311"/>
      <c r="AH124" s="3316"/>
      <c r="AI124" s="3317"/>
      <c r="AZ124" s="1630"/>
      <c r="BA124" s="1617">
        <v>124</v>
      </c>
    </row>
    <row r="125" spans="1:53" s="144" customFormat="1" ht="12.6" customHeight="1">
      <c r="B125" s="144" t="s">
        <v>3079</v>
      </c>
      <c r="F125" s="322">
        <f>IF($G$127=0,0,G125/$G$127)</f>
        <v>0</v>
      </c>
      <c r="G125" s="3116"/>
      <c r="H125" s="3117"/>
      <c r="J125" s="3116"/>
      <c r="K125" s="3117"/>
      <c r="L125" s="815"/>
      <c r="M125" s="3116"/>
      <c r="N125" s="3117"/>
      <c r="P125" s="3116"/>
      <c r="Q125" s="3117"/>
      <c r="S125" s="3116"/>
      <c r="T125" s="3117"/>
      <c r="V125" s="836"/>
      <c r="W125" s="3243"/>
      <c r="X125" s="3244"/>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6">
        <f>SUM(AE125:AE127)</f>
        <v>1980000</v>
      </c>
      <c r="AG125" s="3306">
        <f>'DCA Underwriting Assumptions'!$Q$90</f>
        <v>4000000</v>
      </c>
      <c r="AH125" s="3312">
        <f>MIN(AF125,AG125)</f>
        <v>1980000</v>
      </c>
      <c r="AI125" s="3313"/>
      <c r="AZ125" s="1630"/>
      <c r="BA125" s="1617">
        <v>125</v>
      </c>
    </row>
    <row r="126" spans="1:53" s="144" customFormat="1" ht="12.6" customHeight="1" thickBot="1">
      <c r="B126" s="144" t="s">
        <v>1712</v>
      </c>
      <c r="F126" s="322">
        <f>IF($G$127=0,0,G126/$G$127)</f>
        <v>0.80909090909090908</v>
      </c>
      <c r="G126" s="3130">
        <f>1980000-G122</f>
        <v>1602000</v>
      </c>
      <c r="H126" s="3131"/>
      <c r="J126" s="3130">
        <f>G126</f>
        <v>1602000</v>
      </c>
      <c r="K126" s="3131"/>
      <c r="L126" s="815"/>
      <c r="M126" s="3130"/>
      <c r="N126" s="3131"/>
      <c r="P126" s="3130"/>
      <c r="Q126" s="3131"/>
      <c r="S126" s="3130"/>
      <c r="T126" s="3131"/>
      <c r="V126" s="836"/>
      <c r="W126" s="3247"/>
      <c r="X126" s="3248"/>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7"/>
      <c r="AG126" s="3307"/>
      <c r="AH126" s="3314"/>
      <c r="AI126" s="3315"/>
      <c r="AZ126" s="1654"/>
      <c r="BA126" s="1617">
        <v>126</v>
      </c>
    </row>
    <row r="127" spans="1:53" s="144" customFormat="1" ht="12.6" customHeight="1" thickTop="1">
      <c r="A127" s="1247" t="str">
        <f>IF(G127&gt;E127,"DF over limit!  Round down/Enter nbr.","")</f>
        <v/>
      </c>
      <c r="B127" s="1862"/>
      <c r="D127" s="484" t="s">
        <v>3798</v>
      </c>
      <c r="E127" s="1863">
        <f>IF(AF122+AF125=0,"Fill in Rent Chart!",IF(F121="9%",AH122,IF(F121="4%",AH125,"Select App Type!")))</f>
        <v>1980000</v>
      </c>
      <c r="F127" s="281" t="s">
        <v>184</v>
      </c>
      <c r="G127" s="3249">
        <f>SUM(G122:G126)</f>
        <v>1980000</v>
      </c>
      <c r="H127" s="3321"/>
      <c r="J127" s="3249">
        <f>SUM(J122:J126)</f>
        <v>1980000</v>
      </c>
      <c r="K127" s="3321"/>
      <c r="L127" s="815"/>
      <c r="M127" s="3249">
        <f>SUM(M122:M126)</f>
        <v>0</v>
      </c>
      <c r="N127" s="3321"/>
      <c r="P127" s="3249">
        <f>SUM(P122:P126)</f>
        <v>0</v>
      </c>
      <c r="Q127" s="3321"/>
      <c r="S127" s="3249">
        <f>SUM(S122:S126)</f>
        <v>0</v>
      </c>
      <c r="T127" s="3321"/>
      <c r="V127" s="838">
        <f>SUM(V122:V126)</f>
        <v>0</v>
      </c>
      <c r="W127" s="3251"/>
      <c r="X127" s="3252"/>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165000</v>
      </c>
      <c r="AF127" s="3308"/>
      <c r="AG127" s="3308"/>
      <c r="AH127" s="3316"/>
      <c r="AI127" s="3317"/>
      <c r="AZ127" s="1654"/>
      <c r="BA127" s="1617">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4" t="s">
        <v>4288</v>
      </c>
      <c r="BA128" s="1617">
        <v>128</v>
      </c>
    </row>
    <row r="129" spans="1:53" s="144" customFormat="1" ht="12.6" customHeight="1">
      <c r="B129" s="144" t="s">
        <v>241</v>
      </c>
      <c r="G129" s="3141">
        <v>25000</v>
      </c>
      <c r="H129" s="3142"/>
      <c r="J129" s="291"/>
      <c r="K129" s="291"/>
      <c r="L129" s="291"/>
      <c r="M129" s="291"/>
      <c r="N129" s="291"/>
      <c r="P129" s="291"/>
      <c r="Q129" s="291"/>
      <c r="S129" s="3141">
        <f>G129</f>
        <v>25000</v>
      </c>
      <c r="T129" s="3142"/>
      <c r="V129" s="836"/>
      <c r="W129" s="3243"/>
      <c r="X129" s="3244"/>
      <c r="Z129" s="1243"/>
      <c r="AB129" s="44"/>
      <c r="AC129"/>
      <c r="AD129"/>
      <c r="AF129"/>
      <c r="AG129"/>
      <c r="AH129"/>
      <c r="AI129"/>
      <c r="AJ129"/>
      <c r="AK129"/>
      <c r="AZ129" s="1654" t="s">
        <v>4289</v>
      </c>
      <c r="BA129" s="1617">
        <v>129</v>
      </c>
    </row>
    <row r="130" spans="1:53" s="144" customFormat="1" ht="12.6" customHeight="1">
      <c r="B130" s="144" t="s">
        <v>1434</v>
      </c>
      <c r="F130" s="364">
        <f>+'Part V-Revenues &amp; Expenses'!$Q$232*('DCA Underwriting Assumptions'!$Q$104/12)</f>
        <v>147458.75</v>
      </c>
      <c r="G130" s="3116">
        <v>148000</v>
      </c>
      <c r="H130" s="3117"/>
      <c r="J130" s="752" t="str">
        <f>IF(E130&gt;G130,"WARNING! Rent-Up Reserves proposed is below minimum - add comment.","")</f>
        <v/>
      </c>
      <c r="K130" s="752"/>
      <c r="L130" s="815"/>
      <c r="M130" s="737"/>
      <c r="N130" s="737"/>
      <c r="P130" s="737"/>
      <c r="Q130" s="737"/>
      <c r="S130" s="3116">
        <f t="shared" ref="S130:S132" si="5">G130</f>
        <v>148000</v>
      </c>
      <c r="T130" s="3117"/>
      <c r="V130" s="836"/>
      <c r="W130" s="3243"/>
      <c r="X130" s="3244"/>
      <c r="Y130"/>
      <c r="Z130" s="1244"/>
      <c r="AB130" s="236"/>
      <c r="AD130"/>
      <c r="AG130"/>
      <c r="AH130"/>
      <c r="AI130"/>
      <c r="AZ130" s="1654"/>
      <c r="BA130" s="1617">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498393.41158411361</v>
      </c>
      <c r="G131" s="3116">
        <v>511000</v>
      </c>
      <c r="H131" s="3117"/>
      <c r="J131" s="752" t="str">
        <f>IF(E131&gt;G131,"WARNING! ODR proposed is below minimum - add comment.","")</f>
        <v/>
      </c>
      <c r="K131" s="290"/>
      <c r="L131" s="290"/>
      <c r="M131" s="290"/>
      <c r="N131" s="290"/>
      <c r="P131" s="290"/>
      <c r="Q131" s="290"/>
      <c r="S131" s="3116">
        <f t="shared" si="5"/>
        <v>511000</v>
      </c>
      <c r="T131" s="3117"/>
      <c r="V131" s="836"/>
      <c r="W131" s="3243"/>
      <c r="X131" s="3244"/>
      <c r="Y131"/>
      <c r="Z131" s="1244"/>
      <c r="AB131" s="236"/>
      <c r="AD131"/>
      <c r="AG131"/>
      <c r="AH131"/>
      <c r="AI131"/>
      <c r="AZ131" s="1654"/>
      <c r="BA131" s="1617">
        <v>131</v>
      </c>
    </row>
    <row r="132" spans="1:53" s="144" customFormat="1" ht="12.6" customHeight="1">
      <c r="B132" s="144" t="s">
        <v>1169</v>
      </c>
      <c r="G132" s="3116"/>
      <c r="H132" s="3117"/>
      <c r="J132" s="291"/>
      <c r="K132" s="291"/>
      <c r="L132" s="291"/>
      <c r="M132" s="291"/>
      <c r="N132" s="291"/>
      <c r="P132" s="291"/>
      <c r="Q132" s="291"/>
      <c r="S132" s="3116">
        <f t="shared" si="5"/>
        <v>0</v>
      </c>
      <c r="T132" s="3117"/>
      <c r="V132" s="836"/>
      <c r="W132" s="3243"/>
      <c r="X132" s="3244"/>
      <c r="AZ132" s="1654" t="s">
        <v>4290</v>
      </c>
      <c r="BA132" s="1617">
        <v>132</v>
      </c>
    </row>
    <row r="133" spans="1:53" s="144" customFormat="1" ht="12.6" customHeight="1">
      <c r="B133" s="144" t="s">
        <v>1170</v>
      </c>
      <c r="E133" s="646" t="s">
        <v>3053</v>
      </c>
      <c r="F133" s="364">
        <f>IF('Part V-Revenues &amp; Expenses'!$P$67=0,0,G133/'Part V-Revenues &amp; Expenses'!$P$67)</f>
        <v>800</v>
      </c>
      <c r="G133" s="3116">
        <v>64000</v>
      </c>
      <c r="H133" s="3117"/>
      <c r="J133" s="3141">
        <f>G133</f>
        <v>64000</v>
      </c>
      <c r="K133" s="3142"/>
      <c r="L133" s="815"/>
      <c r="M133" s="3141"/>
      <c r="N133" s="3142"/>
      <c r="P133" s="3141"/>
      <c r="Q133" s="3142"/>
      <c r="S133" s="3116"/>
      <c r="T133" s="3117"/>
      <c r="V133" s="836"/>
      <c r="W133" s="3243"/>
      <c r="X133" s="3244"/>
      <c r="AZ133" s="1654" t="s">
        <v>4291</v>
      </c>
      <c r="BA133" s="1617">
        <v>133</v>
      </c>
    </row>
    <row r="134" spans="1:53" s="144" customFormat="1" ht="12.6" customHeight="1" thickBot="1">
      <c r="A134" s="303" t="str">
        <f>IF(AND(G134&gt;0,OR(C134="",C134="&lt;Enter detailed description here; use Comments section if needed&gt;")),"X","")</f>
        <v/>
      </c>
      <c r="B134" s="147" t="s">
        <v>4174</v>
      </c>
      <c r="C134" s="3245" t="s">
        <v>4616</v>
      </c>
      <c r="D134" s="3245"/>
      <c r="E134" s="3245"/>
      <c r="F134" s="3246"/>
      <c r="G134" s="3130"/>
      <c r="H134" s="3131"/>
      <c r="J134" s="3253"/>
      <c r="K134" s="3254"/>
      <c r="L134" s="815"/>
      <c r="M134" s="3130"/>
      <c r="N134" s="3131"/>
      <c r="P134" s="3130"/>
      <c r="Q134" s="3131"/>
      <c r="S134" s="3130"/>
      <c r="T134" s="3131"/>
      <c r="U134" s="302" t="str">
        <f>IF(AND(G134&gt;0,OR(C134="",C134="&lt;Enter detailed description here; use Comments section if needed&gt;")),"NO DESCRIPTION PROVIDED - please enter detailed description in Other box at left; use Comments section below if needed.","")</f>
        <v/>
      </c>
      <c r="V134" s="836"/>
      <c r="W134" s="3247"/>
      <c r="X134" s="3248"/>
      <c r="AZ134" s="1654"/>
      <c r="BA134" s="1617">
        <v>134</v>
      </c>
    </row>
    <row r="135" spans="1:53" s="144" customFormat="1" ht="12.6" customHeight="1" thickTop="1">
      <c r="B135" s="292"/>
      <c r="F135" s="281" t="s">
        <v>184</v>
      </c>
      <c r="G135" s="3249">
        <f>SUM(G129:G134)</f>
        <v>748000</v>
      </c>
      <c r="H135" s="3250"/>
      <c r="J135" s="3249">
        <f>SUM(J133:J134)</f>
        <v>64000</v>
      </c>
      <c r="K135" s="3250"/>
      <c r="L135" s="815"/>
      <c r="M135" s="3249">
        <f>SUM(M133:M134)</f>
        <v>0</v>
      </c>
      <c r="N135" s="3250"/>
      <c r="P135" s="3249">
        <f>SUM(P133:P134)</f>
        <v>0</v>
      </c>
      <c r="Q135" s="3250"/>
      <c r="S135" s="3249">
        <f>SUM(S129:S134)</f>
        <v>684000</v>
      </c>
      <c r="T135" s="3250"/>
      <c r="V135" s="838">
        <f>SUM(V129:V134)</f>
        <v>0</v>
      </c>
      <c r="W135" s="3251"/>
      <c r="X135" s="3252"/>
      <c r="AZ135" s="1654"/>
      <c r="BA135" s="1617">
        <v>135</v>
      </c>
    </row>
    <row r="136" spans="1:53" s="144" customFormat="1" ht="3" customHeight="1">
      <c r="I136" s="293"/>
      <c r="L136" s="293"/>
      <c r="V136" s="839"/>
      <c r="AZ136" s="1654"/>
      <c r="BA136" s="1617">
        <v>136</v>
      </c>
    </row>
    <row r="137" spans="1:53" s="144" customFormat="1" ht="3.6" customHeight="1">
      <c r="D137" s="246"/>
      <c r="E137" s="246"/>
      <c r="I137" s="288"/>
      <c r="J137" s="288"/>
      <c r="K137" s="294"/>
      <c r="L137" s="246"/>
      <c r="V137" s="839"/>
      <c r="AZ137" s="1654"/>
      <c r="BA137" s="1617">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4"/>
      <c r="BA138" s="1617">
        <v>138</v>
      </c>
    </row>
    <row r="139" spans="1:53" s="144" customFormat="1" ht="18" customHeight="1" thickBot="1">
      <c r="A139" s="342" t="s">
        <v>572</v>
      </c>
      <c r="B139" s="342" t="s">
        <v>2516</v>
      </c>
      <c r="J139" s="3233" t="s">
        <v>259</v>
      </c>
      <c r="K139" s="3234"/>
      <c r="L139" s="280"/>
      <c r="M139" s="3237" t="s">
        <v>459</v>
      </c>
      <c r="N139" s="3238"/>
      <c r="P139" s="3233" t="s">
        <v>260</v>
      </c>
      <c r="Q139" s="3234"/>
      <c r="S139" s="3233" t="s">
        <v>261</v>
      </c>
      <c r="T139" s="3234"/>
      <c r="V139" s="343" t="str">
        <f>B139</f>
        <v>DEVELOPMENT BUDGET  (cont'd)</v>
      </c>
      <c r="AZ139" s="1654"/>
      <c r="BA139" s="1617">
        <v>139</v>
      </c>
    </row>
    <row r="140" spans="1:53" s="144" customFormat="1" ht="18" customHeight="1" thickBot="1">
      <c r="G140" s="3241" t="s">
        <v>95</v>
      </c>
      <c r="H140" s="3242"/>
      <c r="J140" s="3235"/>
      <c r="K140" s="3236"/>
      <c r="L140" s="280"/>
      <c r="M140" s="3239"/>
      <c r="N140" s="3240"/>
      <c r="P140" s="3235"/>
      <c r="Q140" s="3236"/>
      <c r="S140" s="3235"/>
      <c r="T140" s="3236"/>
      <c r="V140" s="253" t="s">
        <v>2441</v>
      </c>
      <c r="X140" s="253"/>
      <c r="AZ140" s="1654"/>
      <c r="BA140" s="1617">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4"/>
      <c r="BA141" s="1617">
        <v>141</v>
      </c>
    </row>
    <row r="142" spans="1:53" s="144" customFormat="1" ht="12.6" customHeight="1">
      <c r="B142" s="144" t="s">
        <v>568</v>
      </c>
      <c r="C142" s="246"/>
      <c r="G142" s="3141"/>
      <c r="H142" s="3142"/>
      <c r="J142" s="3141"/>
      <c r="K142" s="3142"/>
      <c r="L142" s="282"/>
      <c r="M142" s="3141"/>
      <c r="N142" s="3142"/>
      <c r="P142" s="3141"/>
      <c r="Q142" s="3142"/>
      <c r="S142" s="3141"/>
      <c r="T142" s="3142"/>
      <c r="V142" s="836"/>
      <c r="W142" s="3243"/>
      <c r="X142" s="3244"/>
      <c r="AZ142" s="1654"/>
      <c r="BA142" s="1617">
        <v>142</v>
      </c>
    </row>
    <row r="143" spans="1:53" s="144" customFormat="1" ht="12.6" customHeight="1" thickBot="1">
      <c r="A143" s="303" t="str">
        <f>IF(AND(G143&gt;0,OR(C143="",C143="&lt;Enter detailed description here; use Comments section if needed&gt;")),"X","")</f>
        <v/>
      </c>
      <c r="B143" s="147" t="s">
        <v>4174</v>
      </c>
      <c r="C143" s="3245" t="s">
        <v>4616</v>
      </c>
      <c r="D143" s="3245"/>
      <c r="E143" s="3245"/>
      <c r="F143" s="3246"/>
      <c r="G143" s="3130"/>
      <c r="H143" s="3131"/>
      <c r="J143" s="3130"/>
      <c r="K143" s="3131"/>
      <c r="L143" s="815"/>
      <c r="M143" s="3130"/>
      <c r="N143" s="3131"/>
      <c r="P143" s="3130"/>
      <c r="Q143" s="3131"/>
      <c r="S143" s="3130"/>
      <c r="T143" s="3131"/>
      <c r="U143" s="302" t="str">
        <f>IF(AND(G143&gt;0,OR(C143="",C143="&lt;Enter detailed description here; use Comments section if needed&gt;")),"NO DESCRIPTION PROVIDED - please enter detailed description in Other box at left; use Comments section below if needed.","")</f>
        <v/>
      </c>
      <c r="V143" s="836"/>
      <c r="W143" s="3247"/>
      <c r="X143" s="3248"/>
      <c r="AZ143" s="1654"/>
      <c r="BA143" s="1617">
        <v>143</v>
      </c>
    </row>
    <row r="144" spans="1:53" s="144" customFormat="1" ht="12.6" customHeight="1" thickTop="1">
      <c r="C144" s="246"/>
      <c r="F144" s="281" t="s">
        <v>184</v>
      </c>
      <c r="G144" s="3249">
        <f>SUM(G142:G143)</f>
        <v>0</v>
      </c>
      <c r="H144" s="3250"/>
      <c r="J144" s="3249">
        <f>SUM(J142:J143)</f>
        <v>0</v>
      </c>
      <c r="K144" s="3250"/>
      <c r="L144" s="815"/>
      <c r="M144" s="3249">
        <f>SUM(M142:M143)</f>
        <v>0</v>
      </c>
      <c r="N144" s="3250"/>
      <c r="P144" s="3249">
        <f>SUM(P142:P143)</f>
        <v>0</v>
      </c>
      <c r="Q144" s="3250"/>
      <c r="S144" s="3249">
        <f>SUM(S142:S143)</f>
        <v>0</v>
      </c>
      <c r="T144" s="3250"/>
      <c r="V144" s="838">
        <f>SUM(V142:V143)</f>
        <v>0</v>
      </c>
      <c r="W144" s="3251"/>
      <c r="X144" s="3252"/>
      <c r="AZ144" s="1654"/>
      <c r="BA144" s="1617">
        <v>144</v>
      </c>
    </row>
    <row r="145" spans="1:53" s="144" customFormat="1" ht="15" customHeight="1" thickBot="1">
      <c r="C145" s="246"/>
      <c r="H145" s="288"/>
      <c r="I145" s="288"/>
      <c r="V145" s="839"/>
      <c r="W145" s="834"/>
      <c r="X145" s="835"/>
      <c r="AZ145" s="1654"/>
      <c r="BA145" s="1617">
        <v>145</v>
      </c>
    </row>
    <row r="146" spans="1:53" s="144" customFormat="1" ht="18.75" customHeight="1" thickBot="1">
      <c r="B146" s="1626" t="s">
        <v>4389</v>
      </c>
      <c r="E146" s="646"/>
      <c r="F146" s="1248"/>
      <c r="G146" s="3322">
        <f>G18+G24+G28+G36+G41+G46+G55+G73+G86+G92+G103+G114+G120+G127+G135+G144</f>
        <v>27055140</v>
      </c>
      <c r="H146" s="3323"/>
      <c r="J146" s="3322">
        <f>J18+J24+J28+J36+J41+J46+J55+J73+J86+J92+J103+J114+J120+J127+J135+J144</f>
        <v>22931380</v>
      </c>
      <c r="K146" s="3323"/>
      <c r="M146" s="3322">
        <f>M18+M24+M28+M36+M41+M46+M55+M73+M86+M92+M103+M114+M120+M127+M135+M144</f>
        <v>0</v>
      </c>
      <c r="N146" s="3323"/>
      <c r="P146" s="3322">
        <f>P18+P24+P28+P36+P41+P46+P55+P73+P86+P92+P103+P114+P120+P127+P135+P144</f>
        <v>0</v>
      </c>
      <c r="Q146" s="3323"/>
      <c r="S146" s="3322">
        <f>S18+S24+S28+S36+S41+S46+S55+S73+S86+S92+S103+S114+S120+S127+S135+S144</f>
        <v>4123760</v>
      </c>
      <c r="T146" s="3323"/>
      <c r="V146" s="842">
        <f>V18+V24+V28+V36+V41+V46+V55+V73+V86+V92+V103+V114+V120+V127+V135+V144</f>
        <v>0</v>
      </c>
      <c r="W146" s="3324"/>
      <c r="X146" s="3252"/>
      <c r="AZ146" s="1654"/>
      <c r="BA146" s="1617">
        <v>146</v>
      </c>
    </row>
    <row r="147" spans="1:53" s="144" customFormat="1" ht="12" customHeight="1">
      <c r="C147" s="246"/>
      <c r="H147" s="288"/>
      <c r="I147" s="288"/>
      <c r="V147" s="839"/>
      <c r="AZ147" s="1654"/>
      <c r="BA147" s="1617">
        <v>147</v>
      </c>
    </row>
    <row r="148" spans="1:53" s="144" customFormat="1" ht="14.1" customHeight="1">
      <c r="B148" s="390" t="s">
        <v>2481</v>
      </c>
      <c r="C148" s="388"/>
      <c r="D148" s="3327">
        <f>IF('Part V-Revenues &amp; Expenses'!$P$67=0,0,G146/'Part V-Revenues &amp; Expenses'!$P$67)</f>
        <v>338189.25</v>
      </c>
      <c r="E148" s="3327"/>
      <c r="F148" s="389" t="s">
        <v>2480</v>
      </c>
      <c r="G148" s="3328">
        <f>IF('Part V-Revenues &amp; Expenses'!$K$179=0,0,G146/'Part V-Revenues &amp; Expenses'!$K$179)</f>
        <v>285.58758642529159</v>
      </c>
      <c r="H148" s="3329"/>
      <c r="I148" s="293"/>
      <c r="V148" s="839"/>
      <c r="AZ148" s="1654"/>
      <c r="BA148" s="1617">
        <v>148</v>
      </c>
    </row>
    <row r="149" spans="1:53" s="144" customFormat="1" ht="21" customHeight="1" thickBot="1">
      <c r="B149" s="1619"/>
      <c r="C149" s="1620"/>
      <c r="D149" s="1621"/>
      <c r="E149" s="1621"/>
      <c r="F149" s="1622"/>
      <c r="G149" s="1422"/>
      <c r="H149" s="1422"/>
      <c r="I149" s="293"/>
      <c r="V149" s="839"/>
      <c r="AZ149" s="1654"/>
      <c r="BA149" s="1617">
        <v>149</v>
      </c>
    </row>
    <row r="150" spans="1:53" s="144" customFormat="1" ht="26.1" customHeight="1">
      <c r="A150" s="342" t="s">
        <v>688</v>
      </c>
      <c r="B150" s="344" t="s">
        <v>1339</v>
      </c>
      <c r="C150" s="374"/>
      <c r="D150" s="815"/>
      <c r="E150" s="815"/>
      <c r="F150" s="815"/>
      <c r="I150" s="295"/>
      <c r="J150" s="3233" t="s">
        <v>259</v>
      </c>
      <c r="K150" s="3234"/>
      <c r="M150" s="3233" t="s">
        <v>94</v>
      </c>
      <c r="N150" s="3234"/>
      <c r="P150" s="3233" t="s">
        <v>260</v>
      </c>
      <c r="Q150" s="3234"/>
      <c r="V150" s="839"/>
      <c r="W150" s="343" t="str">
        <f>B150</f>
        <v>TAX CREDIT CALCULATION - BASIS METHOD</v>
      </c>
      <c r="AZ150" s="1654"/>
      <c r="BA150" s="1617">
        <v>150</v>
      </c>
    </row>
    <row r="151" spans="1:53" s="144" customFormat="1" ht="15" customHeight="1" thickBot="1">
      <c r="B151" s="222" t="s">
        <v>1889</v>
      </c>
      <c r="D151" s="815"/>
      <c r="E151" s="815"/>
      <c r="I151" s="295"/>
      <c r="J151" s="3235"/>
      <c r="K151" s="3236"/>
      <c r="L151" s="374"/>
      <c r="M151" s="3235"/>
      <c r="N151" s="3236"/>
      <c r="P151" s="3235"/>
      <c r="Q151" s="3236"/>
      <c r="V151" s="839"/>
      <c r="W151" s="144" t="str">
        <f>B151</f>
        <v>Subtractions From Eligible Basis</v>
      </c>
      <c r="X151" s="253"/>
      <c r="AZ151" s="1654"/>
      <c r="BA151" s="1617">
        <v>151</v>
      </c>
    </row>
    <row r="152" spans="1:53" s="144" customFormat="1" ht="6" customHeight="1">
      <c r="D152" s="246"/>
      <c r="E152" s="246"/>
      <c r="I152" s="288"/>
      <c r="J152" s="288"/>
      <c r="K152" s="294"/>
      <c r="L152" s="246"/>
      <c r="V152" s="839"/>
      <c r="AZ152" s="1654"/>
      <c r="BA152" s="1617">
        <v>152</v>
      </c>
    </row>
    <row r="153" spans="1:53" s="144" customFormat="1" ht="14.1" customHeight="1">
      <c r="B153" s="246" t="s">
        <v>138</v>
      </c>
      <c r="I153" s="295"/>
      <c r="J153" s="3330"/>
      <c r="K153" s="3331"/>
      <c r="P153" s="3330"/>
      <c r="Q153" s="3331"/>
      <c r="V153" s="836"/>
      <c r="W153" s="3243"/>
      <c r="X153" s="3244"/>
      <c r="AZ153" s="1654"/>
      <c r="BA153" s="1617">
        <v>153</v>
      </c>
    </row>
    <row r="154" spans="1:53" s="144" customFormat="1" ht="14.1" customHeight="1">
      <c r="B154" s="144" t="s">
        <v>1993</v>
      </c>
      <c r="I154" s="295"/>
      <c r="J154" s="3325"/>
      <c r="K154" s="3326"/>
      <c r="P154" s="3325"/>
      <c r="Q154" s="3326"/>
      <c r="V154" s="836"/>
      <c r="W154" s="3243"/>
      <c r="X154" s="3244"/>
      <c r="AZ154" s="1654"/>
      <c r="BA154" s="1617">
        <v>154</v>
      </c>
    </row>
    <row r="155" spans="1:53" s="144" customFormat="1" ht="14.1" customHeight="1">
      <c r="B155" s="144" t="s">
        <v>1722</v>
      </c>
      <c r="I155" s="295"/>
      <c r="J155" s="3325"/>
      <c r="K155" s="3326"/>
      <c r="P155" s="3325"/>
      <c r="Q155" s="3326"/>
      <c r="V155" s="836"/>
      <c r="W155" s="3243"/>
      <c r="X155" s="3244"/>
      <c r="AZ155" s="1654"/>
      <c r="BA155" s="1617">
        <v>155</v>
      </c>
    </row>
    <row r="156" spans="1:53" s="144" customFormat="1" ht="14.1" customHeight="1">
      <c r="B156" s="144" t="s">
        <v>1723</v>
      </c>
      <c r="I156" s="295"/>
      <c r="J156" s="3325"/>
      <c r="K156" s="3326"/>
      <c r="P156" s="3325"/>
      <c r="Q156" s="3326"/>
      <c r="V156" s="836"/>
      <c r="W156" s="3243"/>
      <c r="X156" s="3244"/>
      <c r="AZ156" s="1654"/>
      <c r="BA156" s="1617">
        <v>156</v>
      </c>
    </row>
    <row r="157" spans="1:53" s="144" customFormat="1" ht="14.1" customHeight="1">
      <c r="B157" s="144" t="s">
        <v>243</v>
      </c>
      <c r="I157" s="295"/>
      <c r="J157" s="3325"/>
      <c r="K157" s="3326"/>
      <c r="P157" s="3325"/>
      <c r="Q157" s="3326"/>
      <c r="V157" s="836"/>
      <c r="W157" s="3243"/>
      <c r="X157" s="3244"/>
      <c r="AZ157" s="1654"/>
      <c r="BA157" s="1617">
        <v>157</v>
      </c>
    </row>
    <row r="158" spans="1:53" s="144" customFormat="1" ht="14.1" customHeight="1" thickBot="1">
      <c r="B158" s="144" t="s">
        <v>1494</v>
      </c>
      <c r="C158" s="3332" t="s">
        <v>2218</v>
      </c>
      <c r="D158" s="3332"/>
      <c r="E158" s="3332"/>
      <c r="F158" s="3332"/>
      <c r="G158" s="3332"/>
      <c r="H158" s="3332"/>
      <c r="I158" s="3333"/>
      <c r="J158" s="3334"/>
      <c r="K158" s="3335"/>
      <c r="P158" s="3334"/>
      <c r="Q158" s="3335"/>
      <c r="V158" s="836"/>
      <c r="W158" s="3247"/>
      <c r="X158" s="3248"/>
      <c r="AZ158" s="1654"/>
      <c r="BA158" s="1617">
        <v>158</v>
      </c>
    </row>
    <row r="159" spans="1:53" s="144" customFormat="1" ht="14.1" customHeight="1" thickBot="1">
      <c r="B159" s="243" t="s">
        <v>1724</v>
      </c>
      <c r="C159" s="250"/>
      <c r="J159" s="3212">
        <f>SUM(J153:K158)</f>
        <v>0</v>
      </c>
      <c r="K159" s="3213"/>
      <c r="P159" s="3212">
        <f>SUM(P153:Q158)</f>
        <v>0</v>
      </c>
      <c r="Q159" s="3213"/>
      <c r="V159" s="838">
        <f>SUM(V153:V158)</f>
        <v>0</v>
      </c>
      <c r="W159" s="3251"/>
      <c r="X159" s="3252"/>
      <c r="AZ159" s="1654"/>
      <c r="BA159" s="1617">
        <v>159</v>
      </c>
    </row>
    <row r="160" spans="1:53" s="144" customFormat="1" ht="3" customHeight="1">
      <c r="V160" s="839"/>
      <c r="AZ160" s="1654"/>
      <c r="BA160" s="1617">
        <v>160</v>
      </c>
    </row>
    <row r="161" spans="1:53" s="144" customFormat="1" ht="15" customHeight="1">
      <c r="B161" s="243" t="s">
        <v>2154</v>
      </c>
      <c r="V161" s="839"/>
      <c r="W161" s="144" t="str">
        <f>B161</f>
        <v>Eligible Basis Calculation</v>
      </c>
      <c r="AZ161" s="1654"/>
      <c r="BA161" s="1617">
        <v>161</v>
      </c>
    </row>
    <row r="162" spans="1:53" s="144" customFormat="1" ht="14.1" customHeight="1">
      <c r="B162" s="144" t="s">
        <v>1660</v>
      </c>
      <c r="J162" s="3336">
        <f>J146</f>
        <v>22931380</v>
      </c>
      <c r="K162" s="3337"/>
      <c r="M162" s="3338">
        <f>M146</f>
        <v>0</v>
      </c>
      <c r="N162" s="3339"/>
      <c r="P162" s="3336">
        <f>P146</f>
        <v>0</v>
      </c>
      <c r="Q162" s="3337"/>
      <c r="R162" s="3340" t="s">
        <v>4753</v>
      </c>
      <c r="S162" s="3341"/>
      <c r="T162" s="3341"/>
      <c r="V162" s="836"/>
      <c r="W162" s="3243"/>
      <c r="X162" s="3244"/>
      <c r="AZ162" s="1654"/>
      <c r="BA162" s="1617">
        <v>162</v>
      </c>
    </row>
    <row r="163" spans="1:53" s="144" customFormat="1" ht="14.1" customHeight="1">
      <c r="B163" s="144" t="s">
        <v>2047</v>
      </c>
      <c r="J163" s="3342">
        <f>J159</f>
        <v>0</v>
      </c>
      <c r="K163" s="3343"/>
      <c r="M163" s="3344"/>
      <c r="N163" s="3344"/>
      <c r="P163" s="3342">
        <f>P159</f>
        <v>0</v>
      </c>
      <c r="Q163" s="3343"/>
      <c r="R163" s="3340"/>
      <c r="S163" s="3341"/>
      <c r="T163" s="3341"/>
      <c r="U163" s="1110"/>
      <c r="V163" s="836"/>
      <c r="W163" s="3243"/>
      <c r="X163" s="3244"/>
      <c r="AZ163" s="1654"/>
      <c r="BA163" s="1617">
        <v>163</v>
      </c>
    </row>
    <row r="164" spans="1:53" s="144" customFormat="1" ht="14.1" customHeight="1">
      <c r="B164" s="144" t="s">
        <v>2048</v>
      </c>
      <c r="J164" s="3342">
        <f>J162-J163</f>
        <v>22931380</v>
      </c>
      <c r="K164" s="3343"/>
      <c r="M164" s="3345">
        <f>M162</f>
        <v>0</v>
      </c>
      <c r="N164" s="3346"/>
      <c r="P164" s="3342">
        <f>P162-P163</f>
        <v>0</v>
      </c>
      <c r="Q164" s="3343"/>
      <c r="R164" s="3347" t="s">
        <v>4754</v>
      </c>
      <c r="S164" s="3348"/>
      <c r="T164" s="3349"/>
      <c r="U164" s="1110"/>
      <c r="V164" s="836"/>
      <c r="W164" s="3243"/>
      <c r="X164" s="3244"/>
      <c r="AZ164" s="1654"/>
      <c r="BA164" s="1617">
        <v>164</v>
      </c>
    </row>
    <row r="165" spans="1:53" s="144" customFormat="1" ht="14.1" customHeight="1">
      <c r="B165" s="144" t="s">
        <v>1388</v>
      </c>
      <c r="G165" s="248" t="s">
        <v>1591</v>
      </c>
      <c r="H165" s="3356" t="s">
        <v>1641</v>
      </c>
      <c r="I165" s="3357"/>
      <c r="J165" s="3358">
        <v>1</v>
      </c>
      <c r="K165" s="3359"/>
      <c r="M165" s="3360"/>
      <c r="N165" s="3360"/>
      <c r="P165" s="3358"/>
      <c r="Q165" s="3359"/>
      <c r="R165" s="3350"/>
      <c r="S165" s="3351"/>
      <c r="T165" s="3352"/>
      <c r="U165" s="1111"/>
      <c r="V165" s="836"/>
      <c r="W165" s="3243"/>
      <c r="X165" s="3244"/>
      <c r="AZ165" s="1654"/>
      <c r="BA165" s="1617">
        <v>165</v>
      </c>
    </row>
    <row r="166" spans="1:53" s="144" customFormat="1" ht="14.1" customHeight="1">
      <c r="B166" s="144" t="s">
        <v>1898</v>
      </c>
      <c r="J166" s="3342">
        <f>J164*J165</f>
        <v>22931380</v>
      </c>
      <c r="K166" s="3343"/>
      <c r="M166" s="3336">
        <f>+M164</f>
        <v>0</v>
      </c>
      <c r="N166" s="3337"/>
      <c r="P166" s="3342">
        <f>P164*P165</f>
        <v>0</v>
      </c>
      <c r="Q166" s="3343"/>
      <c r="R166" s="3353"/>
      <c r="S166" s="3354"/>
      <c r="T166" s="3355"/>
      <c r="U166" s="1111"/>
      <c r="V166" s="836"/>
      <c r="W166" s="3243"/>
      <c r="X166" s="3244"/>
      <c r="AZ166" s="1654"/>
      <c r="BA166" s="1617">
        <v>166</v>
      </c>
    </row>
    <row r="167" spans="1:53" s="144" customFormat="1" ht="14.1" customHeight="1">
      <c r="B167" s="144" t="s">
        <v>2333</v>
      </c>
      <c r="J167" s="3361">
        <f>MIN('Part V-Revenues &amp; Expenses'!$P$63/'Part V-Revenues &amp; Expenses'!$P$65,'Part V-Revenues &amp; Expenses'!$P$168/'Part V-Revenues &amp; Expenses'!$P$170)</f>
        <v>0.75</v>
      </c>
      <c r="K167" s="3362"/>
      <c r="M167" s="3361">
        <f>MIN('Part V-Revenues &amp; Expenses'!$P$63/'Part V-Revenues &amp; Expenses'!$P$65,'Part V-Revenues &amp; Expenses'!$P$168/'Part V-Revenues &amp; Expenses'!$P$170)</f>
        <v>0.75</v>
      </c>
      <c r="N167" s="3362"/>
      <c r="P167" s="3361">
        <f>MIN('Part V-Revenues &amp; Expenses'!$P$63/'Part V-Revenues &amp; Expenses'!$P$65,'Part V-Revenues &amp; Expenses'!$P$168/'Part V-Revenues &amp; Expenses'!$P$170)</f>
        <v>0.75</v>
      </c>
      <c r="Q167" s="3362"/>
      <c r="R167" s="3363" t="s">
        <v>4755</v>
      </c>
      <c r="S167" s="3364"/>
      <c r="T167" s="3365"/>
      <c r="V167" s="836"/>
      <c r="W167" s="3243"/>
      <c r="X167" s="3244"/>
      <c r="AZ167" s="1654"/>
      <c r="BA167" s="1617">
        <v>167</v>
      </c>
    </row>
    <row r="168" spans="1:53" s="144" customFormat="1" ht="14.1" customHeight="1">
      <c r="B168" s="144" t="s">
        <v>1890</v>
      </c>
      <c r="J168" s="3342">
        <f>J166*J167</f>
        <v>17198535</v>
      </c>
      <c r="K168" s="3343"/>
      <c r="M168" s="3342">
        <f>M166*M167</f>
        <v>0</v>
      </c>
      <c r="N168" s="3343"/>
      <c r="P168" s="3342">
        <f>P166*P167</f>
        <v>0</v>
      </c>
      <c r="Q168" s="3343"/>
      <c r="V168" s="836"/>
      <c r="W168" s="3243"/>
      <c r="X168" s="3244"/>
      <c r="AZ168" s="1654"/>
      <c r="BA168" s="1617">
        <v>168</v>
      </c>
    </row>
    <row r="169" spans="1:53" s="144" customFormat="1" ht="14.1" customHeight="1">
      <c r="B169" s="144" t="s">
        <v>1891</v>
      </c>
      <c r="J169" s="3358">
        <v>0.09</v>
      </c>
      <c r="K169" s="3359"/>
      <c r="M169" s="3358"/>
      <c r="N169" s="3359"/>
      <c r="P169" s="3358"/>
      <c r="Q169" s="3359"/>
      <c r="V169" s="836"/>
      <c r="W169" s="3243"/>
      <c r="X169" s="3244"/>
      <c r="AZ169" s="1654"/>
      <c r="BA169" s="1617">
        <v>169</v>
      </c>
    </row>
    <row r="170" spans="1:53" s="144" customFormat="1" ht="14.1" customHeight="1" thickBot="1">
      <c r="B170" s="144" t="s">
        <v>2334</v>
      </c>
      <c r="J170" s="3366">
        <f>J168*J169</f>
        <v>1547868.15</v>
      </c>
      <c r="K170" s="3367"/>
      <c r="M170" s="3366">
        <f>M168*M169</f>
        <v>0</v>
      </c>
      <c r="N170" s="3367"/>
      <c r="P170" s="3366">
        <f>P168*P169</f>
        <v>0</v>
      </c>
      <c r="Q170" s="3367"/>
      <c r="V170" s="843"/>
      <c r="W170" s="3247"/>
      <c r="X170" s="3248"/>
      <c r="AZ170" s="1654"/>
      <c r="BA170" s="1617">
        <v>170</v>
      </c>
    </row>
    <row r="171" spans="1:53" s="144" customFormat="1" ht="14.1" customHeight="1" thickBot="1">
      <c r="B171" s="243" t="s">
        <v>1337</v>
      </c>
      <c r="J171" s="3212">
        <f>ROUNDDOWN(J170+M170+P170,0)</f>
        <v>1547868</v>
      </c>
      <c r="K171" s="3368"/>
      <c r="L171" s="3368"/>
      <c r="M171" s="3368"/>
      <c r="N171" s="3368"/>
      <c r="O171" s="3368"/>
      <c r="P171" s="3368"/>
      <c r="Q171" s="3213"/>
      <c r="V171" s="838"/>
      <c r="W171" s="3298"/>
      <c r="X171" s="3299"/>
      <c r="AZ171" s="1654"/>
      <c r="BA171" s="1617">
        <v>171</v>
      </c>
    </row>
    <row r="172" spans="1:53" s="144" customFormat="1" ht="6" customHeight="1">
      <c r="B172" s="296"/>
      <c r="L172" s="297"/>
      <c r="M172" s="297"/>
      <c r="N172" s="297"/>
      <c r="O172" s="297"/>
      <c r="V172" s="839"/>
      <c r="AZ172" s="1654"/>
      <c r="BA172" s="1617">
        <v>172</v>
      </c>
    </row>
    <row r="173" spans="1:53" s="144" customFormat="1" ht="14.1" customHeight="1">
      <c r="A173" s="343" t="s">
        <v>690</v>
      </c>
      <c r="B173" s="343" t="s">
        <v>1340</v>
      </c>
      <c r="H173" s="288"/>
      <c r="I173" s="288"/>
      <c r="M173" s="370"/>
      <c r="V173" s="839"/>
      <c r="AZ173" s="1654"/>
      <c r="BA173" s="1617">
        <v>173</v>
      </c>
    </row>
    <row r="174" spans="1:53" s="144" customFormat="1" ht="3" customHeight="1">
      <c r="H174" s="288"/>
      <c r="I174" s="288"/>
      <c r="M174" s="370"/>
      <c r="O174" s="1154"/>
      <c r="P174" s="1154"/>
      <c r="Q174" s="1154"/>
      <c r="R174" s="1154"/>
      <c r="S174" s="1154"/>
      <c r="T174" s="1154"/>
      <c r="U174" s="1154"/>
      <c r="V174" s="1154"/>
      <c r="AZ174" s="1654"/>
      <c r="BA174" s="1617">
        <v>174</v>
      </c>
    </row>
    <row r="175" spans="1:53" s="144" customFormat="1" ht="15" customHeight="1" thickBot="1">
      <c r="B175" s="243" t="s">
        <v>167</v>
      </c>
      <c r="V175" s="839"/>
      <c r="W175" s="343" t="str">
        <f>B173</f>
        <v>TAX CREDIT CALCULATION - GAP METHOD</v>
      </c>
      <c r="AZ175" s="1654"/>
      <c r="BA175" s="1617">
        <v>175</v>
      </c>
    </row>
    <row r="176" spans="1:53" s="144" customFormat="1" ht="15" customHeight="1">
      <c r="B176" s="144" t="s">
        <v>3811</v>
      </c>
      <c r="J176" s="3336">
        <f>G146</f>
        <v>27055140</v>
      </c>
      <c r="K176" s="3369"/>
      <c r="L176" s="3337"/>
      <c r="N176" s="3370" t="s">
        <v>4611</v>
      </c>
      <c r="O176" s="3371"/>
      <c r="P176" s="3371"/>
      <c r="Q176" s="3372"/>
      <c r="S176" s="3378" t="s">
        <v>3103</v>
      </c>
      <c r="T176" s="3379"/>
      <c r="V176" s="836"/>
      <c r="W176" s="3243"/>
      <c r="X176" s="3244"/>
      <c r="AZ176" s="1654"/>
      <c r="BA176" s="1617">
        <v>176</v>
      </c>
    </row>
    <row r="177" spans="1:53" s="144" customFormat="1" ht="14.1" customHeight="1">
      <c r="B177" s="144" t="s">
        <v>252</v>
      </c>
      <c r="J177" s="3342">
        <f>'Part II-Sources of Funds'!$I$60-'Part II-Sources of Funds'!$I$44-'Part II-Sources of Funds'!$I$45-'Part II-Sources of Funds'!$I$51-'Part II-Sources of Funds'!$I$52</f>
        <v>6794810</v>
      </c>
      <c r="K177" s="3382"/>
      <c r="L177" s="3343"/>
      <c r="M177" s="1878"/>
      <c r="N177" s="3373"/>
      <c r="O177" s="3341"/>
      <c r="P177" s="3341"/>
      <c r="Q177" s="3374"/>
      <c r="S177" s="3380"/>
      <c r="T177" s="3381"/>
      <c r="V177" s="836"/>
      <c r="W177" s="3243"/>
      <c r="X177" s="3244"/>
      <c r="AZ177" s="1654"/>
      <c r="BA177" s="1617">
        <v>177</v>
      </c>
    </row>
    <row r="178" spans="1:53" s="144" customFormat="1" ht="14.1" customHeight="1">
      <c r="B178" s="144" t="s">
        <v>2059</v>
      </c>
      <c r="J178" s="3383">
        <f>+J176-J177</f>
        <v>20260330</v>
      </c>
      <c r="K178" s="3384"/>
      <c r="L178" s="3385"/>
      <c r="M178" s="1878"/>
      <c r="N178" s="3375"/>
      <c r="O178" s="3376"/>
      <c r="P178" s="3376"/>
      <c r="Q178" s="3377"/>
      <c r="S178" s="3380"/>
      <c r="T178" s="3381"/>
      <c r="V178" s="836"/>
      <c r="W178" s="3243"/>
      <c r="X178" s="3244"/>
      <c r="AZ178" s="1654"/>
      <c r="BA178" s="1617">
        <v>178</v>
      </c>
    </row>
    <row r="179" spans="1:53" s="144" customFormat="1" ht="14.1" customHeight="1" thickBot="1">
      <c r="B179" s="144" t="s">
        <v>1207</v>
      </c>
      <c r="J179" s="3180" t="str">
        <f>"/ 10"</f>
        <v>/ 10</v>
      </c>
      <c r="K179" s="3180"/>
      <c r="L179" s="3180"/>
      <c r="M179" s="223"/>
      <c r="N179" s="3391">
        <f>'Part II-Sources of Funds'!$I$44</f>
        <v>0</v>
      </c>
      <c r="O179" s="3392"/>
      <c r="P179" s="3392"/>
      <c r="Q179" s="3393"/>
      <c r="S179" s="328" t="s">
        <v>1546</v>
      </c>
      <c r="T179" s="329" t="s">
        <v>2644</v>
      </c>
      <c r="V179" s="836"/>
      <c r="W179" s="3243"/>
      <c r="X179" s="3244"/>
      <c r="AZ179" s="1654"/>
      <c r="BA179" s="1617">
        <v>179</v>
      </c>
    </row>
    <row r="180" spans="1:53" s="144" customFormat="1" ht="14.1" customHeight="1">
      <c r="B180" s="144" t="s">
        <v>1208</v>
      </c>
      <c r="J180" s="3345">
        <f>J178/10</f>
        <v>2026033</v>
      </c>
      <c r="K180" s="3344"/>
      <c r="L180" s="3346"/>
      <c r="N180" s="368"/>
      <c r="O180" s="368"/>
      <c r="P180" s="368"/>
      <c r="Q180" s="368"/>
      <c r="R180" s="368"/>
      <c r="V180" s="836"/>
      <c r="W180" s="3243"/>
      <c r="X180" s="3244"/>
      <c r="AZ180" s="1654"/>
      <c r="BA180" s="1617">
        <v>180</v>
      </c>
    </row>
    <row r="181" spans="1:53" s="144" customFormat="1" ht="14.1" customHeight="1">
      <c r="M181" s="145"/>
      <c r="N181" s="3122" t="s">
        <v>1209</v>
      </c>
      <c r="O181" s="3122"/>
      <c r="Q181" s="3122" t="s">
        <v>1666</v>
      </c>
      <c r="R181" s="3122"/>
      <c r="V181" s="836"/>
      <c r="W181" s="3243"/>
      <c r="X181" s="3244"/>
      <c r="Z181" s="1728" t="s">
        <v>1641</v>
      </c>
      <c r="AZ181" s="1654"/>
      <c r="BA181" s="1617">
        <v>181</v>
      </c>
    </row>
    <row r="182" spans="1:53" s="144" customFormat="1" ht="14.1" customHeight="1" thickBot="1">
      <c r="B182" s="144" t="s">
        <v>1387</v>
      </c>
      <c r="J182" s="3386">
        <f>N182+Q182</f>
        <v>1.48</v>
      </c>
      <c r="K182" s="3387"/>
      <c r="L182" s="3388"/>
      <c r="M182" s="248" t="s">
        <v>1210</v>
      </c>
      <c r="N182" s="3389">
        <v>0.92</v>
      </c>
      <c r="O182" s="3390"/>
      <c r="P182" s="248" t="s">
        <v>569</v>
      </c>
      <c r="Q182" s="3389">
        <v>0.56000000000000005</v>
      </c>
      <c r="R182" s="3390"/>
      <c r="V182" s="836"/>
      <c r="W182" s="3243"/>
      <c r="X182" s="3244"/>
      <c r="Z182" s="1729">
        <f>'DCA Underwriting Assumptions'!Q134</f>
        <v>0</v>
      </c>
      <c r="AZ182" s="1654"/>
      <c r="BA182" s="1617">
        <v>182</v>
      </c>
    </row>
    <row r="183" spans="1:53" s="144" customFormat="1" ht="14.1" customHeight="1" thickBot="1">
      <c r="B183" s="243" t="s">
        <v>1338</v>
      </c>
      <c r="J183" s="3212">
        <f>ROUNDDOWN(IF(J182=0,"",J180/J182),0)</f>
        <v>1368941</v>
      </c>
      <c r="K183" s="3368"/>
      <c r="L183" s="3213"/>
      <c r="M183" s="145"/>
      <c r="V183" s="836"/>
      <c r="W183" s="3243"/>
      <c r="X183" s="3244"/>
      <c r="Z183" s="1729">
        <f>'DCA Underwriting Assumptions'!Q135</f>
        <v>0</v>
      </c>
      <c r="AZ183" s="1654"/>
      <c r="BA183" s="1617">
        <v>183</v>
      </c>
    </row>
    <row r="184" spans="1:53" s="144" customFormat="1" ht="6" customHeight="1">
      <c r="J184" s="298"/>
      <c r="K184" s="298"/>
      <c r="L184" s="298"/>
      <c r="M184" s="145"/>
      <c r="N184" s="248"/>
      <c r="O184" s="248"/>
      <c r="V184" s="839"/>
      <c r="W184" s="1562"/>
      <c r="X184" s="1562"/>
      <c r="AZ184" s="1654"/>
      <c r="BA184" s="1617">
        <v>184</v>
      </c>
    </row>
    <row r="185" spans="1:53" s="144" customFormat="1" ht="14.1" customHeight="1">
      <c r="A185" s="343" t="s">
        <v>1661</v>
      </c>
      <c r="B185" s="343" t="s">
        <v>3810</v>
      </c>
      <c r="H185" s="288"/>
      <c r="I185" s="288"/>
      <c r="V185" s="839"/>
      <c r="AZ185" s="1654"/>
      <c r="BA185" s="1617">
        <v>185</v>
      </c>
    </row>
    <row r="186" spans="1:53" s="144" customFormat="1" ht="3" customHeight="1">
      <c r="H186" s="288"/>
      <c r="I186" s="288"/>
      <c r="Q186" s="429"/>
      <c r="R186" s="429"/>
      <c r="S186" s="854"/>
      <c r="T186" s="854"/>
      <c r="U186" s="392"/>
      <c r="V186" s="392"/>
      <c r="AZ186" s="1650"/>
      <c r="BA186" s="1617">
        <v>186</v>
      </c>
    </row>
    <row r="187" spans="1:53" s="144" customFormat="1" ht="16.350000000000001" customHeight="1">
      <c r="B187" s="243" t="s">
        <v>4610</v>
      </c>
      <c r="J187" s="3395">
        <v>1350000</v>
      </c>
      <c r="K187" s="3396"/>
      <c r="L187" s="3397"/>
      <c r="Q187" s="147" t="s">
        <v>4146</v>
      </c>
      <c r="R187" s="147"/>
      <c r="S187" s="3398" t="str">
        <f>'Part VIII Scoring Criteria'!$J$12</f>
        <v>Atlanta Metro</v>
      </c>
      <c r="T187" s="3399"/>
      <c r="U187" s="1533" t="str">
        <f>IF(OR(S187="Atlanta Metro", "Other Metro"), "Metro", IF(S187="Rural","Rural",""))</f>
        <v>Metro</v>
      </c>
      <c r="V187" s="836"/>
      <c r="W187" s="3243"/>
      <c r="X187" s="3244"/>
      <c r="AZ187" s="1650"/>
      <c r="BA187" s="1617">
        <v>187</v>
      </c>
    </row>
    <row r="188" spans="1:53" s="144" customFormat="1" ht="3" customHeight="1">
      <c r="J188" s="298"/>
      <c r="K188" s="298"/>
      <c r="L188" s="298"/>
      <c r="M188" s="145"/>
      <c r="N188" s="248"/>
      <c r="O188" s="248"/>
      <c r="Q188" s="147"/>
      <c r="R188" s="147"/>
      <c r="S188" s="241"/>
      <c r="T188" s="241"/>
      <c r="V188" s="839"/>
      <c r="W188" s="834"/>
      <c r="X188" s="835"/>
      <c r="AZ188" s="1650"/>
      <c r="BA188" s="1617">
        <v>188</v>
      </c>
    </row>
    <row r="189" spans="1:53" s="144" customFormat="1" ht="16.350000000000001" customHeight="1">
      <c r="B189" s="243" t="s">
        <v>3944</v>
      </c>
      <c r="J189" s="3395">
        <v>1350000</v>
      </c>
      <c r="K189" s="3396"/>
      <c r="L189" s="3397"/>
      <c r="M189" s="3400" t="str">
        <f>IF(J187=0,"",IF(J189&gt;J187,"Request can't exceed Maximum - REVISE (Try Round Down)!",""))</f>
        <v/>
      </c>
      <c r="N189" s="3400"/>
      <c r="O189" s="3400"/>
      <c r="P189" s="3400"/>
      <c r="Q189" s="241" t="s">
        <v>4440</v>
      </c>
      <c r="R189" s="147"/>
      <c r="S189" s="3398" t="str">
        <f>'Part VIII Scoring Criteria'!$F$12</f>
        <v>New Affordability</v>
      </c>
      <c r="T189" s="3399"/>
      <c r="V189" s="836"/>
      <c r="W189" s="3243"/>
      <c r="X189" s="3244"/>
      <c r="AZ189" s="1650"/>
      <c r="BA189" s="1617">
        <v>189</v>
      </c>
    </row>
    <row r="190" spans="1:53" s="144" customFormat="1" ht="3" customHeight="1">
      <c r="J190" s="298"/>
      <c r="K190" s="298"/>
      <c r="L190" s="298"/>
      <c r="M190" s="3400"/>
      <c r="N190" s="3400"/>
      <c r="O190" s="3400"/>
      <c r="P190" s="3400"/>
      <c r="Q190" s="147"/>
      <c r="R190" s="147"/>
      <c r="S190" s="241"/>
      <c r="T190" s="241"/>
      <c r="V190" s="839"/>
      <c r="W190" s="834"/>
      <c r="X190" s="835"/>
      <c r="AZ190" s="1650"/>
      <c r="BA190" s="1617">
        <v>190</v>
      </c>
    </row>
    <row r="191" spans="1:53" s="144" customFormat="1" ht="16.350000000000001" customHeight="1">
      <c r="A191" s="343"/>
      <c r="B191" s="343" t="s">
        <v>3945</v>
      </c>
      <c r="D191" s="145"/>
      <c r="E191" s="145"/>
      <c r="F191" s="246"/>
      <c r="J191" s="3401">
        <f>IF(J189="",0,+MIN(J187,J189))</f>
        <v>1350000</v>
      </c>
      <c r="K191" s="3402"/>
      <c r="L191" s="3403"/>
      <c r="M191" s="3400"/>
      <c r="N191" s="3400"/>
      <c r="O191" s="3400"/>
      <c r="P191" s="3400"/>
      <c r="Q191" s="236" t="s">
        <v>3802</v>
      </c>
      <c r="R191" s="236"/>
      <c r="S191" s="156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3"/>
      <c r="X191" s="3244"/>
      <c r="AZ191" s="1650"/>
      <c r="BA191" s="1617">
        <v>191</v>
      </c>
    </row>
    <row r="192" spans="1:53" ht="3" customHeight="1">
      <c r="BA192" s="1617">
        <v>192</v>
      </c>
    </row>
    <row r="193" spans="1:53" ht="6" customHeight="1">
      <c r="BA193" s="1617">
        <v>193</v>
      </c>
    </row>
    <row r="194" spans="1:53" ht="12" customHeight="1">
      <c r="A194" s="243" t="s">
        <v>1663</v>
      </c>
      <c r="B194" s="253" t="s">
        <v>529</v>
      </c>
      <c r="N194" s="243" t="s">
        <v>495</v>
      </c>
      <c r="O194" s="243" t="s">
        <v>74</v>
      </c>
      <c r="AZ194" s="1654"/>
      <c r="BA194" s="1617">
        <v>194</v>
      </c>
    </row>
    <row r="195" spans="1:53" ht="287.25" customHeight="1">
      <c r="A195" s="3204" t="s">
        <v>3144</v>
      </c>
      <c r="B195" s="3204"/>
      <c r="C195" s="3204"/>
      <c r="D195" s="3204"/>
      <c r="E195" s="3204"/>
      <c r="F195" s="3204"/>
      <c r="G195" s="3204"/>
      <c r="H195" s="3204"/>
      <c r="I195" s="3204"/>
      <c r="J195" s="3204"/>
      <c r="K195" s="3204"/>
      <c r="L195" s="3204"/>
      <c r="M195" s="3204"/>
      <c r="N195" s="3394"/>
      <c r="O195" s="3394"/>
      <c r="P195" s="3394"/>
      <c r="Q195" s="3394"/>
      <c r="R195" s="3394"/>
      <c r="S195" s="3394"/>
      <c r="T195" s="3394"/>
      <c r="V195" s="739"/>
      <c r="W195" s="3206" t="s">
        <v>2445</v>
      </c>
      <c r="X195" s="3206"/>
      <c r="AZ195" s="1654"/>
      <c r="BA195" s="1617">
        <v>195</v>
      </c>
    </row>
    <row r="196" spans="1:53" ht="11.25" customHeight="1">
      <c r="AZ196" s="1654"/>
      <c r="BA196" s="1617">
        <v>196</v>
      </c>
    </row>
    <row r="197" spans="1:53" ht="12" customHeight="1">
      <c r="BA197" s="1654"/>
    </row>
    <row r="198" spans="1:53" ht="12" customHeight="1">
      <c r="AZ198" s="1654"/>
    </row>
    <row r="199" spans="1:53" ht="14.65" customHeight="1">
      <c r="BA199" s="1654"/>
    </row>
    <row r="200" spans="1:53" s="144" customFormat="1" ht="14.65" customHeight="1">
      <c r="AZ200" s="1654"/>
      <c r="BA200" s="1650"/>
    </row>
    <row r="201" spans="1:53" s="144" customFormat="1" ht="14.65" customHeight="1">
      <c r="AZ201" s="1654"/>
      <c r="BA201" s="1654"/>
    </row>
    <row r="202" spans="1:53" s="144" customFormat="1" ht="14.65" customHeight="1">
      <c r="AZ202" s="1654"/>
      <c r="BA202" s="1654"/>
    </row>
    <row r="203" spans="1:53" ht="14.65" customHeight="1">
      <c r="AZ203" s="1654"/>
      <c r="BA203" s="1654"/>
    </row>
    <row r="204" spans="1:53" s="144" customFormat="1" ht="14.65" customHeight="1">
      <c r="A204" s="222"/>
      <c r="AZ204" s="1654"/>
      <c r="BA204" s="1654"/>
    </row>
    <row r="205" spans="1:53" ht="14.65" customHeight="1">
      <c r="AZ205" s="1654"/>
      <c r="BA205" s="1654"/>
    </row>
    <row r="206" spans="1:53" s="144" customFormat="1" ht="14.65" customHeight="1">
      <c r="AZ206" s="1654"/>
      <c r="BA206" s="1654"/>
    </row>
    <row r="207" spans="1:53" s="144" customFormat="1" ht="14.65" customHeight="1">
      <c r="A207" s="222"/>
      <c r="AZ207" s="1654"/>
      <c r="BA207" s="1654"/>
    </row>
    <row r="208" spans="1:53" s="144" customFormat="1" ht="14.65" customHeight="1">
      <c r="A208" s="374"/>
      <c r="AZ208" s="1654"/>
      <c r="BA208" s="1654"/>
    </row>
    <row r="209" spans="1:53" s="144" customFormat="1" ht="14.65" customHeight="1">
      <c r="AZ209" s="1650"/>
      <c r="BA209" s="1654"/>
    </row>
    <row r="210" spans="1:53" s="144" customFormat="1" ht="14.65" customHeight="1">
      <c r="A210" s="260"/>
      <c r="AZ210" s="1650"/>
      <c r="BA210" s="1650"/>
    </row>
    <row r="211" spans="1:53" s="144" customFormat="1" ht="14.65" customHeight="1">
      <c r="A211" s="260"/>
      <c r="AZ211" s="1650"/>
      <c r="BA211" s="1650"/>
    </row>
    <row r="212" spans="1:53" s="144" customFormat="1" ht="14.65" customHeight="1">
      <c r="A212" s="260"/>
      <c r="AZ212" s="1650"/>
      <c r="BA212" s="1650"/>
    </row>
    <row r="213" spans="1:53" s="144" customFormat="1" ht="14.65" customHeight="1">
      <c r="AZ213" s="1650"/>
      <c r="BA213" s="1650"/>
    </row>
    <row r="214" spans="1:53" s="144" customFormat="1" ht="14.65" customHeight="1">
      <c r="AZ214" s="1650"/>
      <c r="BA214" s="1650"/>
    </row>
    <row r="215" spans="1:53" ht="14.65" customHeight="1"/>
    <row r="216" spans="1:53" ht="14.65" customHeight="1"/>
    <row r="217" spans="1:53" ht="14.65" customHeight="1">
      <c r="AZ217" s="1654"/>
    </row>
    <row r="218" spans="1:53" ht="14.65" customHeight="1">
      <c r="BA218" s="1654"/>
    </row>
    <row r="219" spans="1:53" ht="14.65" customHeight="1"/>
    <row r="220" spans="1:53" ht="14.65" customHeight="1"/>
    <row r="221" spans="1:53" ht="14.65" customHeight="1"/>
    <row r="222" spans="1:53" ht="14.65" customHeight="1"/>
    <row r="223" spans="1:53" s="144" customFormat="1" ht="14.65" customHeight="1">
      <c r="AZ223" s="1650"/>
      <c r="BA223" s="1650"/>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1"/>
      <c r="L237" s="144"/>
    </row>
    <row r="238" spans="11:12" ht="14.65" customHeight="1">
      <c r="K238" s="1591"/>
      <c r="L238" s="144"/>
    </row>
    <row r="239" spans="11:12" ht="12.75" customHeight="1">
      <c r="K239" s="1591"/>
      <c r="L239" s="144"/>
    </row>
    <row r="240" spans="11:12">
      <c r="K240" s="1591"/>
      <c r="L240" s="144"/>
    </row>
    <row r="241" spans="11:12">
      <c r="K241" s="1591"/>
      <c r="L241" s="144"/>
    </row>
    <row r="242" spans="11:12">
      <c r="K242" s="1591"/>
      <c r="L242" s="144"/>
    </row>
    <row r="243" spans="11:12">
      <c r="K243" s="1591"/>
      <c r="L243" s="144"/>
    </row>
    <row r="244" spans="11:12">
      <c r="K244" s="1591"/>
      <c r="L244" s="144"/>
    </row>
    <row r="245" spans="11:12" ht="12.75" customHeight="1">
      <c r="K245" s="1591"/>
      <c r="L245" s="144"/>
    </row>
    <row r="246" spans="11:12">
      <c r="K246" s="1591"/>
      <c r="L246" s="144"/>
    </row>
  </sheetData>
  <sheetProtection algorithmName="SHA-512" hashValue="vHjUiryL7xSnhUKoHB4uTlDVQg0yBdW/nby1EYQVhtLx3jkwOFqLIOZ3tOKy9tr0i/MGU9wi6sWgVizH+FvXEA==" saltValue="ttuMFOsmugPQ8ejmqXs0tg=="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25" right="0.25" top="0.75" bottom="0.5" header="0.3" footer="0.3"/>
  <pageSetup scale="89" fitToHeight="0" orientation="landscape" r:id="rId1"/>
  <headerFooter>
    <oddHeader>&amp;LGeorgia Department of Community Affairs&amp;C2024 Funding Application&amp;RHousing Finance and Development Division</oddHeader>
    <oddFooter>&amp;L&amp;G  &amp;F&amp;C&amp;A&amp;R&amp;P of &amp;N</oddFooter>
  </headerFooter>
  <rowBreaks count="2" manualBreakCount="2">
    <brk id="103" max="19" man="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dimension ref="A1:R92"/>
  <sheetViews>
    <sheetView showGridLines="0" view="pageBreakPreview" topLeftCell="A54" zoomScale="60" zoomScaleNormal="100" workbookViewId="0">
      <selection activeCell="O29" sqref="O29:P29"/>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4" t="str">
        <f>CONCATENATE("PART THREE (B) -  OTHER COSTS","  -  ",'Part I-Project Identification'!$O$7," - ",'Part I-Project Identification'!$F$26,"  -  ",'Part I-Project Identification'!$F$27,"  -  ",'Part I-Project Identification'!$J$27,",  ","County")</f>
        <v>PART THREE (B) -  OTHER COSTS  -  2024-0 - Redland Trace  -  Lawrenceville  -  Gwinnett,  County</v>
      </c>
      <c r="B1" s="3405"/>
      <c r="C1" s="3405"/>
      <c r="D1" s="3405"/>
      <c r="E1" s="3405"/>
      <c r="F1" s="3405"/>
      <c r="G1" s="3405"/>
      <c r="H1" s="3405"/>
      <c r="I1" s="709"/>
      <c r="J1" s="709"/>
      <c r="K1" s="709"/>
      <c r="L1" s="709"/>
      <c r="M1" s="709"/>
      <c r="N1" s="709"/>
      <c r="R1" s="2476">
        <v>1</v>
      </c>
    </row>
    <row r="2" spans="1:18" ht="9" customHeight="1">
      <c r="R2" s="2476">
        <v>2</v>
      </c>
    </row>
    <row r="3" spans="1:18" ht="57" customHeight="1">
      <c r="A3" s="3406" t="s">
        <v>3130</v>
      </c>
      <c r="B3" s="3407"/>
      <c r="C3" s="3407"/>
      <c r="D3" s="3407"/>
      <c r="E3" s="3407"/>
      <c r="F3" s="3407"/>
      <c r="G3" s="3407"/>
      <c r="H3" s="3408"/>
      <c r="R3" s="2476">
        <v>3</v>
      </c>
    </row>
    <row r="4" spans="1:18" ht="6" customHeight="1">
      <c r="R4" s="2476">
        <v>4</v>
      </c>
    </row>
    <row r="5" spans="1:18" ht="38.25" customHeight="1">
      <c r="A5" s="3409" t="s">
        <v>3194</v>
      </c>
      <c r="B5" s="3409"/>
      <c r="C5" s="3409"/>
      <c r="D5" s="3409"/>
      <c r="F5" s="710" t="s">
        <v>3122</v>
      </c>
      <c r="G5" s="438"/>
      <c r="H5" s="710" t="s">
        <v>3123</v>
      </c>
      <c r="R5" s="2476">
        <v>5</v>
      </c>
    </row>
    <row r="6" spans="1:18" ht="6.75" customHeight="1">
      <c r="A6" s="438"/>
      <c r="B6" s="438"/>
      <c r="C6" s="438"/>
      <c r="D6" s="438"/>
      <c r="R6" s="2476">
        <v>6</v>
      </c>
    </row>
    <row r="7" spans="1:18" s="712" customFormat="1" ht="4.5" customHeight="1">
      <c r="A7" s="711"/>
      <c r="B7" s="711"/>
      <c r="C7" s="711"/>
      <c r="D7" s="711"/>
      <c r="E7" s="711"/>
      <c r="F7" s="711"/>
      <c r="G7" s="711"/>
      <c r="R7" s="2477">
        <v>7</v>
      </c>
    </row>
    <row r="8" spans="1:18" s="712" customFormat="1" ht="15.75">
      <c r="A8" s="723" t="s">
        <v>96</v>
      </c>
      <c r="B8" s="713"/>
      <c r="C8" s="713"/>
      <c r="D8" s="713"/>
      <c r="E8" s="713"/>
      <c r="F8" s="713"/>
      <c r="G8" s="713"/>
      <c r="H8" s="713"/>
      <c r="R8" s="2477">
        <v>8</v>
      </c>
    </row>
    <row r="9" spans="1:18" s="712" customFormat="1" ht="41.25" customHeight="1">
      <c r="A9" s="3410">
        <f>'Part III-A-Uses of Funds'!$C$15</f>
        <v>0</v>
      </c>
      <c r="B9" s="3411"/>
      <c r="C9" s="3411"/>
      <c r="D9" s="3412"/>
      <c r="F9" s="3416"/>
      <c r="G9" s="713"/>
      <c r="H9" s="3416"/>
      <c r="R9" s="2477">
        <v>9</v>
      </c>
    </row>
    <row r="10" spans="1:18" s="712" customFormat="1" ht="41.25" customHeight="1">
      <c r="A10" s="3413"/>
      <c r="B10" s="3414"/>
      <c r="C10" s="3414"/>
      <c r="D10" s="3415"/>
      <c r="F10" s="3417"/>
      <c r="G10" s="713"/>
      <c r="H10" s="3417"/>
      <c r="R10" s="2476">
        <v>10</v>
      </c>
    </row>
    <row r="11" spans="1:18" s="712" customFormat="1" ht="4.5" customHeight="1">
      <c r="F11" s="3417"/>
      <c r="G11" s="713"/>
      <c r="H11" s="3417"/>
      <c r="R11" s="2476">
        <v>11</v>
      </c>
    </row>
    <row r="12" spans="1:18" s="712" customFormat="1" ht="15" customHeight="1">
      <c r="A12" s="722" t="s">
        <v>3125</v>
      </c>
      <c r="B12" s="721">
        <f>'Part III-A-Uses of Funds'!$G$15</f>
        <v>0</v>
      </c>
      <c r="C12" s="722" t="s">
        <v>1660</v>
      </c>
      <c r="D12" s="721">
        <f>'Part III-A-Uses of Funds'!$J$15+'Part III-A-Uses of Funds'!$M$15+'Part III-A-Uses of Funds'!$P$15</f>
        <v>0</v>
      </c>
      <c r="F12" s="3417"/>
      <c r="G12" s="713"/>
      <c r="H12" s="3417"/>
      <c r="R12" s="2476">
        <v>12</v>
      </c>
    </row>
    <row r="13" spans="1:18" s="712" customFormat="1" ht="6" customHeight="1">
      <c r="A13" s="713"/>
      <c r="B13" s="714"/>
      <c r="C13" s="713"/>
      <c r="D13" s="713"/>
      <c r="F13" s="3417"/>
      <c r="G13" s="715"/>
      <c r="H13" s="3417"/>
      <c r="R13" s="2476">
        <v>13</v>
      </c>
    </row>
    <row r="14" spans="1:18" s="712" customFormat="1" ht="41.25" customHeight="1">
      <c r="A14" s="3410" t="str">
        <f>'Part III-A-Uses of Funds'!$C$16</f>
        <v>&lt;&lt; Enter description here; provide detail &amp; justification in tab Part III-b &gt;&gt;</v>
      </c>
      <c r="B14" s="3411"/>
      <c r="C14" s="3411"/>
      <c r="D14" s="3412"/>
      <c r="F14" s="3417"/>
      <c r="G14" s="713"/>
      <c r="H14" s="3417"/>
      <c r="R14" s="2476">
        <v>14</v>
      </c>
    </row>
    <row r="15" spans="1:18" s="712" customFormat="1" ht="41.25" customHeight="1">
      <c r="A15" s="3413"/>
      <c r="B15" s="3414"/>
      <c r="C15" s="3414"/>
      <c r="D15" s="3415"/>
      <c r="F15" s="3417"/>
      <c r="G15" s="713"/>
      <c r="H15" s="3417"/>
      <c r="R15" s="2476">
        <v>15</v>
      </c>
    </row>
    <row r="16" spans="1:18" s="712" customFormat="1" ht="4.5" customHeight="1">
      <c r="F16" s="3417"/>
      <c r="G16" s="713"/>
      <c r="H16" s="3417"/>
      <c r="R16" s="2477">
        <v>16</v>
      </c>
    </row>
    <row r="17" spans="1:18" s="712" customFormat="1" ht="15" customHeight="1">
      <c r="A17" s="722" t="s">
        <v>3125</v>
      </c>
      <c r="B17" s="721">
        <f>'Part III-A-Uses of Funds'!$G$16</f>
        <v>0</v>
      </c>
      <c r="C17" s="722" t="s">
        <v>1660</v>
      </c>
      <c r="D17" s="721">
        <f>'Part III-A-Uses of Funds'!$J$16+'Part III-A-Uses of Funds'!$M$16+'Part III-A-Uses of Funds'!$P$16</f>
        <v>0</v>
      </c>
      <c r="F17" s="3417"/>
      <c r="G17" s="713"/>
      <c r="H17" s="3417"/>
      <c r="R17" s="2477">
        <v>17</v>
      </c>
    </row>
    <row r="18" spans="1:18" s="712" customFormat="1" ht="6" customHeight="1">
      <c r="A18" s="713"/>
      <c r="B18" s="714"/>
      <c r="C18" s="713"/>
      <c r="D18" s="713"/>
      <c r="F18" s="3417"/>
      <c r="G18" s="715"/>
      <c r="H18" s="3417"/>
      <c r="R18" s="2477">
        <v>18</v>
      </c>
    </row>
    <row r="19" spans="1:18" s="712" customFormat="1" ht="41.25" customHeight="1">
      <c r="A19" s="3410" t="str">
        <f>'Part III-A-Uses of Funds'!$C$17</f>
        <v>&lt;&lt; Enter description here; provide detail &amp; justification in tab Part III-b &gt;&gt;</v>
      </c>
      <c r="B19" s="3411"/>
      <c r="C19" s="3411"/>
      <c r="D19" s="3412"/>
      <c r="F19" s="3417"/>
      <c r="G19" s="713"/>
      <c r="H19" s="3417"/>
      <c r="R19" s="2476">
        <v>19</v>
      </c>
    </row>
    <row r="20" spans="1:18" s="712" customFormat="1" ht="41.25" customHeight="1">
      <c r="A20" s="3413"/>
      <c r="B20" s="3414"/>
      <c r="C20" s="3414"/>
      <c r="D20" s="3415"/>
      <c r="F20" s="3417"/>
      <c r="G20" s="713"/>
      <c r="H20" s="3417"/>
      <c r="R20" s="2476">
        <v>20</v>
      </c>
    </row>
    <row r="21" spans="1:18" s="712" customFormat="1" ht="4.5" customHeight="1">
      <c r="F21" s="3417"/>
      <c r="G21" s="713"/>
      <c r="H21" s="3417"/>
      <c r="R21" s="2476">
        <v>21</v>
      </c>
    </row>
    <row r="22" spans="1:18" s="712" customFormat="1" ht="15" customHeight="1">
      <c r="A22" s="722" t="s">
        <v>3125</v>
      </c>
      <c r="B22" s="721">
        <f>'Part III-A-Uses of Funds'!$G$17</f>
        <v>0</v>
      </c>
      <c r="C22" s="722" t="s">
        <v>1660</v>
      </c>
      <c r="D22" s="721">
        <f>'Part III-A-Uses of Funds'!$J$17+'Part III-A-Uses of Funds'!$M$17+'Part III-A-Uses of Funds'!$P$17</f>
        <v>0</v>
      </c>
      <c r="F22" s="3417"/>
      <c r="G22" s="713"/>
      <c r="H22" s="3417"/>
      <c r="R22" s="2476">
        <v>22</v>
      </c>
    </row>
    <row r="23" spans="1:18" s="712" customFormat="1" ht="6" customHeight="1">
      <c r="A23" s="713"/>
      <c r="B23" s="714"/>
      <c r="C23" s="713"/>
      <c r="D23" s="713"/>
      <c r="F23" s="3418"/>
      <c r="G23" s="715"/>
      <c r="H23" s="3418"/>
      <c r="R23" s="2476">
        <v>23</v>
      </c>
    </row>
    <row r="24" spans="1:18" s="712" customFormat="1" ht="15.75">
      <c r="A24" s="723" t="s">
        <v>3124</v>
      </c>
      <c r="B24" s="713"/>
      <c r="C24" s="713"/>
      <c r="D24" s="713"/>
      <c r="E24" s="713"/>
      <c r="F24" s="713"/>
      <c r="G24" s="713"/>
      <c r="R24" s="2476">
        <v>24</v>
      </c>
    </row>
    <row r="25" spans="1:18" s="712" customFormat="1" ht="41.25" customHeight="1">
      <c r="A25" s="3410" t="str">
        <f>'Part III-A-Uses of Funds'!$C$46</f>
        <v>&lt;&lt; Enter description here; provide detail &amp; justification in tab Part III-b &gt;&gt;</v>
      </c>
      <c r="B25" s="3411"/>
      <c r="C25" s="3411"/>
      <c r="D25" s="3412"/>
      <c r="E25" s="713"/>
      <c r="F25" s="3419"/>
      <c r="G25" s="713"/>
      <c r="H25" s="3419"/>
      <c r="R25" s="2477">
        <v>25</v>
      </c>
    </row>
    <row r="26" spans="1:18" s="712" customFormat="1" ht="41.25" customHeight="1">
      <c r="A26" s="3413"/>
      <c r="B26" s="3414"/>
      <c r="C26" s="3414"/>
      <c r="D26" s="3415"/>
      <c r="E26" s="713"/>
      <c r="F26" s="3420"/>
      <c r="G26" s="713"/>
      <c r="H26" s="3420"/>
      <c r="R26" s="2477">
        <v>26</v>
      </c>
    </row>
    <row r="27" spans="1:18" s="712" customFormat="1" ht="4.5" customHeight="1">
      <c r="A27" s="713"/>
      <c r="B27" s="713"/>
      <c r="C27" s="713"/>
      <c r="D27" s="713"/>
      <c r="E27" s="713"/>
      <c r="F27" s="3420"/>
      <c r="G27" s="713"/>
      <c r="H27" s="3420"/>
      <c r="R27" s="2477">
        <v>27</v>
      </c>
    </row>
    <row r="28" spans="1:18" s="712" customFormat="1" ht="25.5">
      <c r="A28" s="722" t="s">
        <v>3125</v>
      </c>
      <c r="B28" s="721">
        <f>'Part III-A-Uses of Funds'!$G$46</f>
        <v>0</v>
      </c>
      <c r="C28" s="722" t="s">
        <v>1660</v>
      </c>
      <c r="D28" s="721">
        <f>'Part III-A-Uses of Funds'!$J$46+'Part III-A-Uses of Funds'!$M$46+'Part III-A-Uses of Funds'!$P$46</f>
        <v>0</v>
      </c>
      <c r="E28" s="713"/>
      <c r="F28" s="3420"/>
      <c r="G28" s="713"/>
      <c r="H28" s="3420"/>
      <c r="R28" s="2476">
        <v>28</v>
      </c>
    </row>
    <row r="29" spans="1:18" s="712" customFormat="1" ht="6" customHeight="1">
      <c r="A29" s="713"/>
      <c r="B29" s="714"/>
      <c r="C29" s="713"/>
      <c r="D29" s="713"/>
      <c r="E29" s="713"/>
      <c r="F29" s="3421"/>
      <c r="G29" s="715"/>
      <c r="H29" s="3421"/>
      <c r="R29" s="2476">
        <v>29</v>
      </c>
    </row>
    <row r="30" spans="1:18" s="712" customFormat="1" ht="15.75">
      <c r="A30" s="723" t="s">
        <v>674</v>
      </c>
      <c r="B30" s="713"/>
      <c r="C30" s="713"/>
      <c r="D30" s="713"/>
      <c r="E30" s="713"/>
      <c r="F30" s="713"/>
      <c r="G30" s="713"/>
      <c r="R30" s="2476">
        <v>30</v>
      </c>
    </row>
    <row r="31" spans="1:18" s="712" customFormat="1" ht="41.25" customHeight="1">
      <c r="A31" s="3422" t="str">
        <f>'Part III-A-Uses of Funds'!$C$71</f>
        <v>Market Study, Appraisal, Plan &amp; Cost Review</v>
      </c>
      <c r="B31" s="3423"/>
      <c r="C31" s="3423"/>
      <c r="D31" s="3424"/>
      <c r="E31" s="713"/>
      <c r="F31" s="3416" t="s">
        <v>5151</v>
      </c>
      <c r="G31" s="713"/>
      <c r="H31" s="3416" t="s">
        <v>5184</v>
      </c>
      <c r="R31" s="2476">
        <v>31</v>
      </c>
    </row>
    <row r="32" spans="1:18" s="712" customFormat="1" ht="41.25" customHeight="1">
      <c r="A32" s="3413"/>
      <c r="B32" s="3414"/>
      <c r="C32" s="3414"/>
      <c r="D32" s="3415"/>
      <c r="E32" s="713"/>
      <c r="F32" s="3417"/>
      <c r="G32" s="713"/>
      <c r="H32" s="3417"/>
      <c r="R32" s="2476">
        <v>32</v>
      </c>
    </row>
    <row r="33" spans="1:18" s="712" customFormat="1" ht="4.5" customHeight="1">
      <c r="A33" s="713"/>
      <c r="B33" s="713"/>
      <c r="C33" s="713"/>
      <c r="D33" s="713"/>
      <c r="E33" s="713"/>
      <c r="F33" s="3417"/>
      <c r="G33" s="713"/>
      <c r="H33" s="3417"/>
      <c r="R33" s="2476">
        <v>33</v>
      </c>
    </row>
    <row r="34" spans="1:18" s="712" customFormat="1" ht="14.25" customHeight="1">
      <c r="A34" s="722" t="s">
        <v>3125</v>
      </c>
      <c r="B34" s="721">
        <f>'Part III-A-Uses of Funds'!$G$71</f>
        <v>9500</v>
      </c>
      <c r="C34" s="722" t="s">
        <v>1660</v>
      </c>
      <c r="D34" s="721">
        <f>'Part III-A-Uses of Funds'!$J$71+'Part III-A-Uses of Funds'!$M$71+'Part III-A-Uses of Funds'!$P$71</f>
        <v>9500</v>
      </c>
      <c r="E34" s="713"/>
      <c r="F34" s="3417"/>
      <c r="G34" s="713"/>
      <c r="H34" s="3417"/>
      <c r="R34" s="2477">
        <v>34</v>
      </c>
    </row>
    <row r="35" spans="1:18" s="712" customFormat="1" ht="6" customHeight="1">
      <c r="D35" s="713"/>
      <c r="E35" s="713"/>
      <c r="F35" s="3417"/>
      <c r="G35" s="715"/>
      <c r="H35" s="3417"/>
      <c r="R35" s="2477">
        <v>35</v>
      </c>
    </row>
    <row r="36" spans="1:18" s="712" customFormat="1" ht="41.25" customHeight="1">
      <c r="A36" s="3422" t="str">
        <f>'Part III-A-Uses of Funds'!$C$72</f>
        <v>&lt;&lt; Enter description here; provide detail &amp; justification in tab Part III-b &gt;&gt;</v>
      </c>
      <c r="B36" s="3423"/>
      <c r="C36" s="3423"/>
      <c r="D36" s="3424"/>
      <c r="E36" s="713"/>
      <c r="F36" s="3417"/>
      <c r="G36" s="713"/>
      <c r="H36" s="3417"/>
      <c r="R36" s="2477">
        <v>36</v>
      </c>
    </row>
    <row r="37" spans="1:18" s="712" customFormat="1" ht="41.25" customHeight="1">
      <c r="A37" s="3413"/>
      <c r="B37" s="3414"/>
      <c r="C37" s="3414"/>
      <c r="D37" s="3415"/>
      <c r="E37" s="713"/>
      <c r="F37" s="3417"/>
      <c r="G37" s="713"/>
      <c r="H37" s="3417"/>
      <c r="R37" s="2476">
        <v>37</v>
      </c>
    </row>
    <row r="38" spans="1:18" s="712" customFormat="1" ht="4.5" customHeight="1">
      <c r="A38" s="713"/>
      <c r="B38" s="713"/>
      <c r="C38" s="713"/>
      <c r="D38" s="713"/>
      <c r="E38" s="713"/>
      <c r="F38" s="3417"/>
      <c r="G38" s="713"/>
      <c r="H38" s="3417"/>
      <c r="R38" s="2476">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7"/>
      <c r="G39" s="713"/>
      <c r="H39" s="3417"/>
      <c r="R39" s="2476">
        <v>39</v>
      </c>
    </row>
    <row r="40" spans="1:18" s="712" customFormat="1" ht="6" customHeight="1">
      <c r="D40" s="713"/>
      <c r="E40" s="713"/>
      <c r="F40" s="3418"/>
      <c r="G40" s="715"/>
      <c r="H40" s="3418"/>
      <c r="R40" s="2476">
        <v>40</v>
      </c>
    </row>
    <row r="41" spans="1:18" s="712" customFormat="1" ht="15.75">
      <c r="A41" s="723" t="s">
        <v>448</v>
      </c>
      <c r="B41" s="713"/>
      <c r="C41" s="713"/>
      <c r="D41" s="713"/>
      <c r="E41" s="717"/>
      <c r="F41" s="717"/>
      <c r="G41" s="713"/>
      <c r="R41" s="2476">
        <v>41</v>
      </c>
    </row>
    <row r="42" spans="1:18" s="712" customFormat="1" ht="41.25" customHeight="1">
      <c r="A42" s="3422" t="str">
        <f>'Part III-A-Uses of Funds'!$C$85</f>
        <v>&lt;&lt; Enter description here; provide detail &amp; justification in tab Part III-b &gt;&gt;</v>
      </c>
      <c r="B42" s="3423"/>
      <c r="C42" s="3423"/>
      <c r="D42" s="3424"/>
      <c r="F42" s="3419"/>
      <c r="G42" s="713"/>
      <c r="H42" s="3419"/>
      <c r="R42" s="2476">
        <v>42</v>
      </c>
    </row>
    <row r="43" spans="1:18" s="712" customFormat="1" ht="41.25" customHeight="1">
      <c r="A43" s="3413"/>
      <c r="B43" s="3414"/>
      <c r="C43" s="3414"/>
      <c r="D43" s="3415"/>
      <c r="E43" s="713"/>
      <c r="F43" s="3420"/>
      <c r="G43" s="713"/>
      <c r="H43" s="3420"/>
      <c r="R43" s="2477">
        <v>43</v>
      </c>
    </row>
    <row r="44" spans="1:18" s="712" customFormat="1" ht="4.5" customHeight="1">
      <c r="A44" s="713"/>
      <c r="B44" s="713"/>
      <c r="C44" s="713"/>
      <c r="D44" s="713"/>
      <c r="E44" s="713"/>
      <c r="F44" s="3420"/>
      <c r="G44" s="713"/>
      <c r="H44" s="3420"/>
      <c r="R44" s="2477">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20"/>
      <c r="G45" s="713"/>
      <c r="H45" s="3420"/>
      <c r="R45" s="2477">
        <v>45</v>
      </c>
    </row>
    <row r="46" spans="1:18" s="712" customFormat="1" ht="6" customHeight="1">
      <c r="A46" s="713"/>
      <c r="B46" s="714"/>
      <c r="C46" s="713"/>
      <c r="D46" s="713"/>
      <c r="E46" s="713"/>
      <c r="F46" s="3421"/>
      <c r="G46" s="715"/>
      <c r="H46" s="3421"/>
      <c r="R46" s="2476">
        <v>46</v>
      </c>
    </row>
    <row r="47" spans="1:18" s="712" customFormat="1" ht="15.75">
      <c r="A47" s="723" t="s">
        <v>676</v>
      </c>
      <c r="B47" s="713"/>
      <c r="C47" s="713"/>
      <c r="D47" s="713"/>
      <c r="E47" s="713"/>
      <c r="F47" s="713"/>
      <c r="G47" s="713"/>
      <c r="R47" s="2476">
        <v>47</v>
      </c>
    </row>
    <row r="48" spans="1:18" s="712" customFormat="1" ht="41.25" customHeight="1">
      <c r="A48" s="3422" t="str">
        <f>'Part III-A-Uses of Funds'!$C$102</f>
        <v>&lt;&lt; Enter description here; provide detail &amp; justification in tab Part III-b &gt;&gt;</v>
      </c>
      <c r="B48" s="3423"/>
      <c r="C48" s="3423"/>
      <c r="D48" s="3424"/>
      <c r="F48" s="3419"/>
      <c r="G48" s="713"/>
      <c r="R48" s="2476">
        <v>48</v>
      </c>
    </row>
    <row r="49" spans="1:18" s="712" customFormat="1" ht="41.25" customHeight="1">
      <c r="A49" s="3413"/>
      <c r="B49" s="3414"/>
      <c r="C49" s="3414"/>
      <c r="D49" s="3415"/>
      <c r="E49" s="713"/>
      <c r="F49" s="3420"/>
      <c r="G49" s="713"/>
      <c r="R49" s="2476">
        <v>49</v>
      </c>
    </row>
    <row r="50" spans="1:18" s="712" customFormat="1" ht="3" customHeight="1">
      <c r="A50" s="713"/>
      <c r="B50" s="713"/>
      <c r="C50" s="713"/>
      <c r="D50" s="713"/>
      <c r="E50" s="713"/>
      <c r="F50" s="3420"/>
      <c r="G50" s="713"/>
      <c r="R50" s="2476">
        <v>50</v>
      </c>
    </row>
    <row r="51" spans="1:18" s="712" customFormat="1" ht="13.5" customHeight="1">
      <c r="A51" s="722" t="s">
        <v>3125</v>
      </c>
      <c r="B51" s="721">
        <f>'Part III-A-Uses of Funds'!$G$102</f>
        <v>0</v>
      </c>
      <c r="C51" s="716"/>
      <c r="D51" s="716"/>
      <c r="E51" s="713"/>
      <c r="F51" s="3420"/>
      <c r="G51" s="713"/>
      <c r="R51" s="2476">
        <v>51</v>
      </c>
    </row>
    <row r="52" spans="1:18" s="712" customFormat="1" ht="3.75" customHeight="1">
      <c r="A52" s="713"/>
      <c r="B52" s="713"/>
      <c r="C52" s="713"/>
      <c r="D52" s="713"/>
      <c r="E52" s="713"/>
      <c r="F52" s="3421"/>
      <c r="G52" s="715"/>
      <c r="R52" s="2477">
        <v>52</v>
      </c>
    </row>
    <row r="53" spans="1:18" s="712" customFormat="1" ht="15.75">
      <c r="A53" s="723" t="s">
        <v>3126</v>
      </c>
      <c r="B53" s="713"/>
      <c r="C53" s="713"/>
      <c r="D53" s="713"/>
      <c r="E53" s="713"/>
      <c r="F53" s="713"/>
      <c r="G53" s="713"/>
      <c r="R53" s="2477">
        <v>53</v>
      </c>
    </row>
    <row r="54" spans="1:18" s="712" customFormat="1" ht="41.25" customHeight="1">
      <c r="A54" s="3422" t="str">
        <f>'Part III-A-Uses of Funds'!$C$112</f>
        <v>&lt;&lt; Enter description here; provide detail &amp; justification in tab Part III-b &gt;&gt;</v>
      </c>
      <c r="B54" s="3423"/>
      <c r="C54" s="3423"/>
      <c r="D54" s="3424"/>
      <c r="F54" s="3416"/>
      <c r="G54" s="713"/>
      <c r="R54" s="2477">
        <v>54</v>
      </c>
    </row>
    <row r="55" spans="1:18" s="712" customFormat="1" ht="41.25" customHeight="1">
      <c r="A55" s="3413"/>
      <c r="B55" s="3414"/>
      <c r="C55" s="3414"/>
      <c r="D55" s="3415"/>
      <c r="E55" s="713"/>
      <c r="F55" s="3417"/>
      <c r="G55" s="713"/>
      <c r="R55" s="2476">
        <v>55</v>
      </c>
    </row>
    <row r="56" spans="1:18" s="712" customFormat="1" ht="3" customHeight="1">
      <c r="A56" s="713"/>
      <c r="B56" s="713"/>
      <c r="C56" s="713"/>
      <c r="D56" s="713"/>
      <c r="E56" s="713"/>
      <c r="F56" s="3417"/>
      <c r="G56" s="713"/>
      <c r="R56" s="2476">
        <v>56</v>
      </c>
    </row>
    <row r="57" spans="1:18" s="712" customFormat="1" ht="25.5">
      <c r="A57" s="722" t="s">
        <v>3125</v>
      </c>
      <c r="B57" s="721">
        <f>'Part III-A-Uses of Funds'!$G$112</f>
        <v>0</v>
      </c>
      <c r="C57" s="716"/>
      <c r="D57" s="716"/>
      <c r="E57" s="713"/>
      <c r="F57" s="3417"/>
      <c r="G57" s="713"/>
      <c r="R57" s="2476">
        <v>57</v>
      </c>
    </row>
    <row r="58" spans="1:18" s="712" customFormat="1" ht="3.75" customHeight="1">
      <c r="A58" s="711"/>
      <c r="B58" s="711"/>
      <c r="C58" s="711"/>
      <c r="D58" s="711"/>
      <c r="E58" s="711"/>
      <c r="F58" s="3417"/>
      <c r="G58" s="715"/>
      <c r="R58" s="2476">
        <v>58</v>
      </c>
    </row>
    <row r="59" spans="1:18" s="712" customFormat="1" ht="41.25" customHeight="1">
      <c r="A59" s="3422" t="str">
        <f>'Part III-A-Uses of Funds'!$C$113</f>
        <v>&lt;&lt; Enter description here; provide detail &amp; justification in tab Part III-b &gt;&gt;</v>
      </c>
      <c r="B59" s="3423"/>
      <c r="C59" s="3423"/>
      <c r="D59" s="3424"/>
      <c r="F59" s="3417"/>
      <c r="G59" s="713"/>
      <c r="R59" s="2476">
        <v>59</v>
      </c>
    </row>
    <row r="60" spans="1:18" s="712" customFormat="1" ht="41.25" customHeight="1">
      <c r="A60" s="3413"/>
      <c r="B60" s="3414"/>
      <c r="C60" s="3414"/>
      <c r="D60" s="3415"/>
      <c r="E60" s="713"/>
      <c r="F60" s="3417"/>
      <c r="G60" s="713"/>
      <c r="R60" s="2476">
        <v>60</v>
      </c>
    </row>
    <row r="61" spans="1:18" s="712" customFormat="1" ht="3" customHeight="1">
      <c r="A61" s="713"/>
      <c r="B61" s="713"/>
      <c r="C61" s="713"/>
      <c r="D61" s="713"/>
      <c r="E61" s="713"/>
      <c r="F61" s="3417"/>
      <c r="G61" s="713"/>
      <c r="R61" s="2477">
        <v>61</v>
      </c>
    </row>
    <row r="62" spans="1:18" s="712" customFormat="1" ht="25.5">
      <c r="A62" s="722" t="s">
        <v>3125</v>
      </c>
      <c r="B62" s="721">
        <f>'Part III-A-Uses of Funds'!$G$113</f>
        <v>0</v>
      </c>
      <c r="C62" s="716"/>
      <c r="D62" s="716"/>
      <c r="E62" s="713"/>
      <c r="F62" s="3417"/>
      <c r="G62" s="713"/>
      <c r="R62" s="2477">
        <v>62</v>
      </c>
    </row>
    <row r="63" spans="1:18" s="712" customFormat="1" ht="3.75" customHeight="1">
      <c r="A63" s="711"/>
      <c r="B63" s="711"/>
      <c r="C63" s="711"/>
      <c r="D63" s="711"/>
      <c r="E63" s="711"/>
      <c r="F63" s="3418"/>
      <c r="G63" s="715"/>
      <c r="R63" s="2477">
        <v>63</v>
      </c>
    </row>
    <row r="64" spans="1:18" s="712" customFormat="1" ht="15.75">
      <c r="A64" s="723" t="s">
        <v>3127</v>
      </c>
      <c r="B64" s="713"/>
      <c r="C64" s="713"/>
      <c r="D64" s="713"/>
      <c r="E64" s="713"/>
      <c r="F64" s="713"/>
      <c r="G64" s="713"/>
      <c r="R64" s="2476">
        <v>64</v>
      </c>
    </row>
    <row r="65" spans="1:18" s="712" customFormat="1" ht="41.25" customHeight="1">
      <c r="A65" s="3422" t="str">
        <f>'Part III-A-Uses of Funds'!$C$119</f>
        <v>&lt;&lt; Enter description here; provide detail &amp; justification in tab Part III-b &gt;&gt;</v>
      </c>
      <c r="B65" s="3423"/>
      <c r="C65" s="3423"/>
      <c r="D65" s="3424"/>
      <c r="F65" s="3419"/>
      <c r="G65" s="713"/>
      <c r="R65" s="2476">
        <v>65</v>
      </c>
    </row>
    <row r="66" spans="1:18" s="712" customFormat="1" ht="41.25" customHeight="1">
      <c r="A66" s="3413"/>
      <c r="B66" s="3414"/>
      <c r="C66" s="3414"/>
      <c r="D66" s="3415"/>
      <c r="E66" s="713"/>
      <c r="F66" s="3420"/>
      <c r="G66" s="713"/>
      <c r="R66" s="2476">
        <v>66</v>
      </c>
    </row>
    <row r="67" spans="1:18" s="712" customFormat="1" ht="3" customHeight="1">
      <c r="A67" s="713"/>
      <c r="B67" s="713"/>
      <c r="C67" s="713"/>
      <c r="D67" s="713"/>
      <c r="E67" s="713"/>
      <c r="F67" s="3420"/>
      <c r="G67" s="713"/>
      <c r="R67" s="2476">
        <v>67</v>
      </c>
    </row>
    <row r="68" spans="1:18" s="712" customFormat="1" ht="25.5">
      <c r="A68" s="722" t="s">
        <v>3125</v>
      </c>
      <c r="B68" s="721">
        <f>'Part III-A-Uses of Funds'!$G$119</f>
        <v>0</v>
      </c>
      <c r="C68" s="716"/>
      <c r="D68" s="716"/>
      <c r="E68" s="713"/>
      <c r="F68" s="3420"/>
      <c r="G68" s="713"/>
      <c r="R68" s="2476">
        <v>68</v>
      </c>
    </row>
    <row r="69" spans="1:18" s="712" customFormat="1" ht="3.75" customHeight="1">
      <c r="A69" s="713"/>
      <c r="B69" s="714"/>
      <c r="C69" s="713"/>
      <c r="D69" s="713"/>
      <c r="E69" s="713"/>
      <c r="F69" s="3421"/>
      <c r="G69" s="715"/>
      <c r="R69" s="2476">
        <v>69</v>
      </c>
    </row>
    <row r="70" spans="1:18" s="712" customFormat="1" ht="15.75">
      <c r="A70" s="723" t="s">
        <v>1229</v>
      </c>
      <c r="B70" s="713"/>
      <c r="C70" s="713"/>
      <c r="D70" s="713"/>
      <c r="E70" s="713"/>
      <c r="F70" s="713"/>
      <c r="G70" s="713"/>
      <c r="R70" s="2477">
        <v>70</v>
      </c>
    </row>
    <row r="71" spans="1:18" s="712" customFormat="1" ht="41.25" customHeight="1">
      <c r="A71" s="3422" t="str">
        <f>'Part III-A-Uses of Funds'!$C$134</f>
        <v>&lt;&lt; Enter description here; provide detail &amp; justification in tab Part III-b &gt;&gt;</v>
      </c>
      <c r="B71" s="3423"/>
      <c r="C71" s="3423"/>
      <c r="D71" s="3424"/>
      <c r="F71" s="3419"/>
      <c r="G71" s="713"/>
      <c r="H71" s="3419"/>
      <c r="R71" s="2477">
        <v>71</v>
      </c>
    </row>
    <row r="72" spans="1:18" s="712" customFormat="1" ht="41.25" customHeight="1">
      <c r="A72" s="3413"/>
      <c r="B72" s="3414"/>
      <c r="C72" s="3414"/>
      <c r="D72" s="3415"/>
      <c r="E72" s="713"/>
      <c r="F72" s="3420"/>
      <c r="G72" s="713"/>
      <c r="H72" s="3420"/>
      <c r="R72" s="2477">
        <v>72</v>
      </c>
    </row>
    <row r="73" spans="1:18" s="712" customFormat="1" ht="4.5" customHeight="1">
      <c r="A73" s="713"/>
      <c r="B73" s="713"/>
      <c r="C73" s="713"/>
      <c r="D73" s="713"/>
      <c r="E73" s="713"/>
      <c r="F73" s="3420"/>
      <c r="G73" s="713"/>
      <c r="H73" s="3420"/>
      <c r="R73" s="2476">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20"/>
      <c r="G74" s="713"/>
      <c r="H74" s="3420"/>
      <c r="R74" s="2476">
        <v>74</v>
      </c>
    </row>
    <row r="75" spans="1:18" s="712" customFormat="1" ht="6" customHeight="1">
      <c r="A75" s="713"/>
      <c r="B75" s="714"/>
      <c r="C75" s="713"/>
      <c r="D75" s="713"/>
      <c r="E75" s="713"/>
      <c r="F75" s="3421"/>
      <c r="G75" s="715"/>
      <c r="H75" s="3421"/>
      <c r="R75" s="2476">
        <v>75</v>
      </c>
    </row>
    <row r="76" spans="1:18" s="712" customFormat="1" ht="15.75">
      <c r="A76" s="723" t="s">
        <v>3128</v>
      </c>
      <c r="B76" s="714"/>
      <c r="C76" s="713"/>
      <c r="D76" s="713"/>
      <c r="E76" s="713"/>
      <c r="F76" s="713"/>
      <c r="G76" s="715"/>
      <c r="R76" s="2476">
        <v>76</v>
      </c>
    </row>
    <row r="77" spans="1:18" s="712" customFormat="1" ht="41.25" customHeight="1">
      <c r="A77" s="3422" t="str">
        <f>'Part III-A-Uses of Funds'!$C$143</f>
        <v>&lt;&lt; Enter description here; provide detail &amp; justification in tab Part III-b &gt;&gt;</v>
      </c>
      <c r="B77" s="3423"/>
      <c r="C77" s="3423"/>
      <c r="D77" s="3424"/>
      <c r="F77" s="3419"/>
      <c r="G77" s="713"/>
      <c r="H77" s="3419"/>
      <c r="R77" s="2476">
        <v>77</v>
      </c>
    </row>
    <row r="78" spans="1:18" s="712" customFormat="1" ht="41.25" customHeight="1">
      <c r="A78" s="3413"/>
      <c r="B78" s="3414"/>
      <c r="C78" s="3414"/>
      <c r="D78" s="3415"/>
      <c r="E78" s="713"/>
      <c r="F78" s="3420"/>
      <c r="G78" s="713"/>
      <c r="H78" s="3420"/>
      <c r="R78" s="2476">
        <v>78</v>
      </c>
    </row>
    <row r="79" spans="1:18" s="712" customFormat="1" ht="4.5" customHeight="1">
      <c r="A79" s="713"/>
      <c r="B79" s="713"/>
      <c r="C79" s="713"/>
      <c r="D79" s="713"/>
      <c r="E79" s="713"/>
      <c r="F79" s="3420"/>
      <c r="G79" s="713"/>
      <c r="H79" s="3420"/>
      <c r="R79" s="2477">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20"/>
      <c r="G80" s="713"/>
      <c r="H80" s="3420"/>
      <c r="R80" s="2477">
        <v>80</v>
      </c>
    </row>
    <row r="81" spans="4:18" s="712" customFormat="1" ht="6" customHeight="1">
      <c r="D81" s="719"/>
      <c r="E81" s="720"/>
      <c r="F81" s="3421"/>
      <c r="G81" s="715"/>
      <c r="H81" s="3421"/>
      <c r="R81" s="2477">
        <v>81</v>
      </c>
    </row>
    <row r="82" spans="4:18" s="712" customFormat="1" ht="15.75">
      <c r="R82" s="2476">
        <v>82</v>
      </c>
    </row>
    <row r="83" spans="4:18" s="712" customFormat="1" ht="15.75">
      <c r="R83" s="2476">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07rWMkELA2KGJS0RDgRArLZL7qRlJsgWLQMkhpjBAvYmFmF32HRV9pw0bXJCTnoG3EaTf1bNS0Hu2TTirwGDTQ==" saltValue="W1q1mZOTKkFse+ofVoiovg=="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75" bottom="0.5" header="0.3" footer="0.3"/>
  <pageSetup scale="89" fitToHeight="0" orientation="landscape" r:id="rId1"/>
  <headerFooter>
    <oddHeader>&amp;LGeorgia Department of Community Affairs&amp;C2024 Funding Application&amp;RHousing Finance and Development Division</oddHeader>
    <oddFooter>&amp;L&amp;G  &amp;F&amp;C&amp;A&amp;R&amp;P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dimension ref="A1:AA47"/>
  <sheetViews>
    <sheetView showGridLines="0" view="pageBreakPreview" zoomScale="60" zoomScaleNormal="100" workbookViewId="0">
      <selection activeCell="O29" sqref="O29:P29"/>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79"/>
  </cols>
  <sheetData>
    <row r="1" spans="1:27" s="6" customFormat="1" ht="14.1" customHeight="1">
      <c r="A1" s="3431" t="str">
        <f>CONCATENATE("PART FOUR - UTILITY ALLOWANCES","  -  ",'Part I-Project Identification'!$O$7," ",'Part I-Project Identification'!$F$26,", ",'Part I-Project Identification'!F27,", ",'Part I-Project Identification'!J27," County")</f>
        <v>PART FOUR - UTILITY ALLOWANCES  -  2024-0 Redland Trace, Lawrenceville, Gwinnett County</v>
      </c>
      <c r="B1" s="3432"/>
      <c r="C1" s="3432"/>
      <c r="D1" s="3432"/>
      <c r="E1" s="3432"/>
      <c r="F1" s="3432"/>
      <c r="G1" s="3432"/>
      <c r="H1" s="3432"/>
      <c r="I1" s="3432"/>
      <c r="J1" s="3432"/>
      <c r="K1" s="3432"/>
      <c r="L1" s="3432"/>
      <c r="M1" s="3432"/>
      <c r="N1" s="4"/>
      <c r="O1" s="4"/>
      <c r="P1" s="4"/>
      <c r="Q1" s="4"/>
      <c r="AA1" s="2478">
        <v>1</v>
      </c>
    </row>
    <row r="2" spans="1:27" s="6" customFormat="1" ht="7.5" customHeight="1">
      <c r="AA2" s="2478">
        <v>2</v>
      </c>
    </row>
    <row r="3" spans="1:27" s="6" customFormat="1" ht="12.75" customHeight="1">
      <c r="B3" s="3433" t="str">
        <f>'Part I-Project Identification'!$A$6</f>
        <v>2024 May 7</v>
      </c>
      <c r="C3" s="3433"/>
      <c r="D3" s="3433"/>
      <c r="E3" s="3433"/>
      <c r="F3" s="4" t="s">
        <v>4631</v>
      </c>
      <c r="I3" s="3434" t="s">
        <v>5147</v>
      </c>
      <c r="J3" s="3435"/>
      <c r="AA3" s="2478">
        <v>3</v>
      </c>
    </row>
    <row r="4" spans="1:27" s="6" customFormat="1" ht="6" customHeight="1">
      <c r="AA4" s="2478">
        <v>4</v>
      </c>
    </row>
    <row r="5" spans="1:27">
      <c r="A5" s="206" t="s">
        <v>4396</v>
      </c>
      <c r="O5" s="826"/>
      <c r="P5" s="826"/>
      <c r="Q5" s="826"/>
      <c r="R5" s="826"/>
      <c r="S5" s="826"/>
      <c r="T5" s="826"/>
      <c r="U5" s="826"/>
      <c r="V5" s="392"/>
      <c r="W5" s="392"/>
      <c r="X5" s="392"/>
      <c r="Y5" s="392"/>
      <c r="AA5" s="2478">
        <v>5</v>
      </c>
    </row>
    <row r="6" spans="1:27" ht="6" customHeight="1">
      <c r="A6" s="6"/>
      <c r="O6" s="826"/>
      <c r="P6" s="826"/>
      <c r="Q6" s="826"/>
      <c r="R6" s="826"/>
      <c r="S6" s="826"/>
      <c r="T6" s="826"/>
      <c r="U6" s="826"/>
      <c r="V6" s="392"/>
      <c r="W6" s="392"/>
      <c r="X6" s="392"/>
      <c r="Y6" s="392"/>
      <c r="AA6" s="2478">
        <v>6</v>
      </c>
    </row>
    <row r="7" spans="1:27" s="6" customFormat="1" ht="13.5" customHeight="1">
      <c r="A7" s="10" t="s">
        <v>572</v>
      </c>
      <c r="B7" s="10" t="s">
        <v>2054</v>
      </c>
      <c r="F7" s="1" t="s">
        <v>2311</v>
      </c>
      <c r="G7" s="1"/>
      <c r="H7" s="1"/>
      <c r="I7" s="3436" t="s">
        <v>5148</v>
      </c>
      <c r="J7" s="3437"/>
      <c r="K7" s="3437"/>
      <c r="L7" s="3437"/>
      <c r="M7" s="3438"/>
      <c r="O7" s="826"/>
      <c r="P7" s="826"/>
      <c r="Q7" s="826"/>
      <c r="R7" s="826"/>
      <c r="S7" s="826"/>
      <c r="T7" s="826"/>
      <c r="U7" s="826"/>
      <c r="V7" s="392"/>
      <c r="W7" s="392"/>
      <c r="X7" s="392"/>
      <c r="Y7" s="392"/>
      <c r="AA7" s="2478">
        <v>7</v>
      </c>
    </row>
    <row r="8" spans="1:27" s="6" customFormat="1" ht="13.35" customHeight="1">
      <c r="A8" s="10"/>
      <c r="F8" s="1" t="s">
        <v>592</v>
      </c>
      <c r="G8" s="1"/>
      <c r="H8" s="26"/>
      <c r="I8" s="3439">
        <v>45292</v>
      </c>
      <c r="J8" s="3440"/>
      <c r="K8" s="5" t="s">
        <v>504</v>
      </c>
      <c r="L8" s="3441" t="s">
        <v>5146</v>
      </c>
      <c r="M8" s="3442"/>
      <c r="O8" s="826"/>
      <c r="P8" s="826"/>
      <c r="Q8" s="826"/>
      <c r="R8" s="826"/>
      <c r="S8" s="826"/>
      <c r="T8" s="826"/>
      <c r="U8" s="826"/>
      <c r="V8" s="392"/>
      <c r="W8" s="392"/>
      <c r="X8" s="392"/>
      <c r="Y8" s="392"/>
      <c r="AA8" s="2478">
        <v>8</v>
      </c>
    </row>
    <row r="9" spans="1:27" s="6" customFormat="1" ht="4.5" customHeight="1">
      <c r="A9" s="10"/>
      <c r="O9" s="826"/>
      <c r="P9" s="826"/>
      <c r="Q9" s="826"/>
      <c r="R9" s="826"/>
      <c r="S9" s="826"/>
      <c r="T9" s="826"/>
      <c r="U9" s="826"/>
      <c r="V9" s="392"/>
      <c r="W9" s="392"/>
      <c r="X9" s="392"/>
      <c r="Y9" s="392"/>
      <c r="AA9" s="2478">
        <v>9</v>
      </c>
    </row>
    <row r="10" spans="1:27" s="10" customFormat="1" ht="13.5" customHeight="1">
      <c r="F10" s="3445" t="s">
        <v>566</v>
      </c>
      <c r="G10" s="3445"/>
      <c r="I10" s="3445" t="s">
        <v>193</v>
      </c>
      <c r="J10" s="3445"/>
      <c r="K10" s="3445"/>
      <c r="L10" s="3445"/>
      <c r="M10" s="3445"/>
      <c r="O10" s="826"/>
      <c r="P10" s="826"/>
      <c r="Q10" s="826"/>
      <c r="R10" s="826"/>
      <c r="S10" s="826"/>
      <c r="T10" s="826"/>
      <c r="U10" s="826"/>
      <c r="AA10" s="2478">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78">
        <v>11</v>
      </c>
    </row>
    <row r="12" spans="1:27" s="6" customFormat="1" ht="12" customHeight="1">
      <c r="B12" s="1208" t="s">
        <v>1711</v>
      </c>
      <c r="C12" s="1209"/>
      <c r="D12" s="3443" t="s">
        <v>1489</v>
      </c>
      <c r="E12" s="3444"/>
      <c r="F12" s="207" t="s">
        <v>415</v>
      </c>
      <c r="G12" s="207"/>
      <c r="H12" s="791"/>
      <c r="I12" s="1203"/>
      <c r="J12" s="1203">
        <v>10</v>
      </c>
      <c r="K12" s="1203">
        <v>13</v>
      </c>
      <c r="L12" s="1203">
        <v>18</v>
      </c>
      <c r="M12" s="1203"/>
      <c r="O12" s="826"/>
      <c r="P12" s="826"/>
      <c r="Q12" s="826"/>
      <c r="R12" s="826"/>
      <c r="S12" s="826"/>
      <c r="T12" s="826"/>
      <c r="U12" s="826"/>
      <c r="AA12" s="2478">
        <v>12</v>
      </c>
    </row>
    <row r="13" spans="1:27" s="6" customFormat="1" ht="12" customHeight="1">
      <c r="B13" s="1210" t="s">
        <v>1490</v>
      </c>
      <c r="C13" s="1211"/>
      <c r="D13" s="3426" t="s">
        <v>1489</v>
      </c>
      <c r="E13" s="3427"/>
      <c r="F13" s="208" t="s">
        <v>415</v>
      </c>
      <c r="G13" s="208"/>
      <c r="H13" s="790"/>
      <c r="I13" s="1204"/>
      <c r="J13" s="1204">
        <v>9</v>
      </c>
      <c r="K13" s="1204">
        <v>11</v>
      </c>
      <c r="L13" s="1205">
        <v>13</v>
      </c>
      <c r="M13" s="1205"/>
      <c r="O13" s="3425" t="s">
        <v>3193</v>
      </c>
      <c r="P13" s="3425"/>
      <c r="Q13" s="3425"/>
      <c r="AA13" s="2478">
        <v>13</v>
      </c>
    </row>
    <row r="14" spans="1:27" s="6" customFormat="1" ht="12" customHeight="1">
      <c r="B14" s="1212" t="s">
        <v>1491</v>
      </c>
      <c r="C14" s="1213"/>
      <c r="D14" s="3426" t="s">
        <v>1489</v>
      </c>
      <c r="E14" s="3427"/>
      <c r="F14" s="208" t="s">
        <v>415</v>
      </c>
      <c r="G14" s="208"/>
      <c r="H14" s="203"/>
      <c r="I14" s="1204"/>
      <c r="J14" s="1204">
        <v>16</v>
      </c>
      <c r="K14" s="1204">
        <v>22</v>
      </c>
      <c r="L14" s="1205">
        <v>27</v>
      </c>
      <c r="M14" s="1205"/>
      <c r="O14" s="3425"/>
      <c r="P14" s="3425"/>
      <c r="Q14" s="3425"/>
      <c r="AA14" s="2478">
        <v>14</v>
      </c>
    </row>
    <row r="15" spans="1:27" s="6" customFormat="1" ht="12" customHeight="1">
      <c r="B15" s="1214" t="s">
        <v>439</v>
      </c>
      <c r="C15" s="1215"/>
      <c r="D15" s="1214" t="s">
        <v>1489</v>
      </c>
      <c r="E15" s="204"/>
      <c r="F15" s="208" t="s">
        <v>415</v>
      </c>
      <c r="G15" s="208"/>
      <c r="H15" s="789"/>
      <c r="I15" s="1204"/>
      <c r="J15" s="1204">
        <v>7</v>
      </c>
      <c r="K15" s="1204">
        <v>11</v>
      </c>
      <c r="L15" s="1205">
        <v>14</v>
      </c>
      <c r="M15" s="1205"/>
      <c r="O15" s="3425"/>
      <c r="P15" s="3425"/>
      <c r="Q15" s="3425"/>
      <c r="AA15" s="2478">
        <v>15</v>
      </c>
    </row>
    <row r="16" spans="1:27" s="6" customFormat="1" ht="12" customHeight="1">
      <c r="B16" s="1216" t="s">
        <v>3187</v>
      </c>
      <c r="C16" s="1211"/>
      <c r="D16" s="1210" t="s">
        <v>1489</v>
      </c>
      <c r="E16" s="788"/>
      <c r="F16" s="208"/>
      <c r="G16" s="208"/>
      <c r="H16" s="790"/>
      <c r="I16" s="1204"/>
      <c r="J16" s="1204"/>
      <c r="K16" s="1204"/>
      <c r="L16" s="1205"/>
      <c r="M16" s="1205"/>
      <c r="O16" s="3425"/>
      <c r="P16" s="3425"/>
      <c r="Q16" s="3425"/>
      <c r="AA16" s="2478">
        <v>16</v>
      </c>
    </row>
    <row r="17" spans="1:27" s="6" customFormat="1" ht="12" customHeight="1">
      <c r="B17" s="1216" t="s">
        <v>3188</v>
      </c>
      <c r="C17" s="1211"/>
      <c r="D17" s="1210" t="s">
        <v>1489</v>
      </c>
      <c r="E17" s="788"/>
      <c r="F17" s="208"/>
      <c r="G17" s="208"/>
      <c r="H17" s="790"/>
      <c r="I17" s="1204"/>
      <c r="J17" s="1204"/>
      <c r="K17" s="1204"/>
      <c r="L17" s="1205"/>
      <c r="M17" s="1205"/>
      <c r="O17" s="3425"/>
      <c r="P17" s="3425"/>
      <c r="Q17" s="3425"/>
      <c r="AA17" s="2478">
        <v>17</v>
      </c>
    </row>
    <row r="18" spans="1:27" s="6" customFormat="1" ht="12" customHeight="1">
      <c r="B18" s="1217" t="s">
        <v>3189</v>
      </c>
      <c r="C18" s="1213"/>
      <c r="D18" s="1212" t="s">
        <v>1489</v>
      </c>
      <c r="E18" s="788"/>
      <c r="F18" s="208" t="s">
        <v>415</v>
      </c>
      <c r="G18" s="208"/>
      <c r="H18" s="203"/>
      <c r="I18" s="1204"/>
      <c r="J18" s="1204">
        <v>25</v>
      </c>
      <c r="K18" s="1204">
        <v>32</v>
      </c>
      <c r="L18" s="1205">
        <v>39</v>
      </c>
      <c r="M18" s="1205"/>
      <c r="O18" s="3425"/>
      <c r="P18" s="3425"/>
      <c r="Q18" s="3425"/>
      <c r="AA18" s="2478">
        <v>18</v>
      </c>
    </row>
    <row r="19" spans="1:27" s="6" customFormat="1" ht="12" customHeight="1">
      <c r="B19" s="1214" t="s">
        <v>1290</v>
      </c>
      <c r="C19" s="1215"/>
      <c r="D19" s="1220" t="s">
        <v>2992</v>
      </c>
      <c r="E19" s="1202" t="s">
        <v>2641</v>
      </c>
      <c r="F19" s="208" t="s">
        <v>415</v>
      </c>
      <c r="G19" s="208"/>
      <c r="H19" s="789"/>
      <c r="I19" s="1204"/>
      <c r="J19" s="1204">
        <f>26+25</f>
        <v>51</v>
      </c>
      <c r="K19" s="1204">
        <f>30+29</f>
        <v>59</v>
      </c>
      <c r="L19" s="1205">
        <f>36+37</f>
        <v>73</v>
      </c>
      <c r="M19" s="1205"/>
      <c r="O19" s="3425"/>
      <c r="P19" s="3425"/>
      <c r="Q19" s="3425"/>
      <c r="AA19" s="2478">
        <v>19</v>
      </c>
    </row>
    <row r="20" spans="1:27" s="6" customFormat="1" ht="12" customHeight="1">
      <c r="B20" s="1218" t="s">
        <v>1710</v>
      </c>
      <c r="C20" s="1219"/>
      <c r="D20" s="205"/>
      <c r="E20" s="187"/>
      <c r="F20" s="208"/>
      <c r="G20" s="208" t="s">
        <v>415</v>
      </c>
      <c r="H20" s="790"/>
      <c r="I20" s="1204"/>
      <c r="J20" s="1204"/>
      <c r="K20" s="1204"/>
      <c r="L20" s="1205"/>
      <c r="M20" s="1205"/>
      <c r="O20" s="3425"/>
      <c r="P20" s="3425"/>
      <c r="Q20" s="3425"/>
      <c r="AA20" s="2478">
        <v>20</v>
      </c>
    </row>
    <row r="21" spans="1:27" s="6" customFormat="1" ht="12" customHeight="1">
      <c r="B21" s="1218" t="s">
        <v>689</v>
      </c>
      <c r="C21" s="3428"/>
      <c r="D21" s="3429"/>
      <c r="E21" s="3430"/>
      <c r="F21" s="209"/>
      <c r="G21" s="209"/>
      <c r="H21" s="792"/>
      <c r="I21" s="1206"/>
      <c r="J21" s="1206"/>
      <c r="K21" s="1206"/>
      <c r="L21" s="1207"/>
      <c r="M21" s="1207"/>
      <c r="O21" s="3425"/>
      <c r="P21" s="3425"/>
      <c r="Q21" s="3425"/>
      <c r="AA21" s="2478">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148</v>
      </c>
      <c r="L22" s="119">
        <f>IF(SUM(L12:L21)=0,0,IF(OR($D12="&lt;&lt;Select Fuel &gt;&gt;",$D13="&lt;&lt;Select Fuel &gt;&gt;",$D14="&lt;&lt;Select Fuel &gt;&gt;"),"Select Fuel",IF($E19="&lt;Select&gt;","Submeter?",SUM(L12:L21))))</f>
        <v>184</v>
      </c>
      <c r="M22" s="119">
        <f>IF(SUM(M12:M21)=0,0,IF(OR($D12="&lt;&lt;Select Fuel &gt;&gt;",$D13="&lt;&lt;Select Fuel &gt;&gt;",$D14="&lt;&lt;Select Fuel &gt;&gt;"),"Select Fuel",IF($E19="&lt;Select&gt;","Submeter?",SUM(M12:M21))))</f>
        <v>0</v>
      </c>
      <c r="AA22" s="2478">
        <v>22</v>
      </c>
    </row>
    <row r="23" spans="1:27" s="6" customFormat="1" ht="7.5" customHeight="1">
      <c r="M23"/>
      <c r="N23"/>
      <c r="O23" s="826"/>
      <c r="P23" s="826"/>
      <c r="Q23" s="826"/>
      <c r="R23" s="826"/>
      <c r="S23" s="826"/>
      <c r="T23" s="826"/>
      <c r="U23" s="826"/>
      <c r="V23" s="392"/>
      <c r="W23" s="392"/>
      <c r="X23" s="392"/>
      <c r="Y23" s="392"/>
      <c r="AA23" s="2478">
        <v>23</v>
      </c>
    </row>
    <row r="24" spans="1:27" s="6" customFormat="1" ht="12.75" customHeight="1">
      <c r="A24" s="10" t="s">
        <v>688</v>
      </c>
      <c r="B24" s="10" t="s">
        <v>2055</v>
      </c>
      <c r="F24" s="1" t="s">
        <v>2311</v>
      </c>
      <c r="G24" s="1"/>
      <c r="H24" s="1"/>
      <c r="I24" s="3446"/>
      <c r="J24" s="3437"/>
      <c r="K24" s="3437"/>
      <c r="L24" s="3437"/>
      <c r="M24" s="3438"/>
      <c r="O24" s="826"/>
      <c r="P24" s="826"/>
      <c r="Q24" s="826"/>
      <c r="R24" s="826"/>
      <c r="S24" s="826"/>
      <c r="T24" s="826"/>
      <c r="U24" s="826"/>
      <c r="V24" s="392"/>
      <c r="W24" s="392"/>
      <c r="X24" s="392"/>
      <c r="Y24" s="392"/>
      <c r="AA24" s="2478">
        <v>24</v>
      </c>
    </row>
    <row r="25" spans="1:27" s="6" customFormat="1" ht="13.35" customHeight="1">
      <c r="A25" s="10"/>
      <c r="B25" s="10"/>
      <c r="F25" s="1" t="s">
        <v>592</v>
      </c>
      <c r="G25" s="1"/>
      <c r="H25" s="26"/>
      <c r="I25" s="3439"/>
      <c r="J25" s="3440"/>
      <c r="K25" s="5" t="s">
        <v>504</v>
      </c>
      <c r="L25" s="3441"/>
      <c r="M25" s="3442"/>
      <c r="O25" s="826"/>
      <c r="P25" s="826"/>
      <c r="Q25" s="826"/>
      <c r="R25" s="826"/>
      <c r="S25" s="826"/>
      <c r="T25" s="826"/>
      <c r="U25" s="826"/>
      <c r="V25" s="392"/>
      <c r="W25" s="392"/>
      <c r="X25" s="392"/>
      <c r="Y25" s="392"/>
      <c r="AA25" s="2478">
        <v>25</v>
      </c>
    </row>
    <row r="26" spans="1:27" s="6" customFormat="1" ht="4.5" customHeight="1">
      <c r="A26" s="10"/>
      <c r="O26" s="826"/>
      <c r="P26" s="826"/>
      <c r="Q26" s="826"/>
      <c r="R26" s="826"/>
      <c r="S26" s="826"/>
      <c r="T26" s="826"/>
      <c r="U26" s="826"/>
      <c r="V26" s="392"/>
      <c r="W26" s="392"/>
      <c r="X26" s="392"/>
      <c r="Y26" s="392"/>
      <c r="AA26" s="2478">
        <v>26</v>
      </c>
    </row>
    <row r="27" spans="1:27" s="10" customFormat="1">
      <c r="F27" s="3445" t="s">
        <v>566</v>
      </c>
      <c r="G27" s="3445"/>
      <c r="I27" s="3445" t="s">
        <v>193</v>
      </c>
      <c r="J27" s="3445"/>
      <c r="K27" s="3445"/>
      <c r="L27" s="3445"/>
      <c r="M27" s="3445"/>
      <c r="O27" s="826"/>
      <c r="P27" s="826"/>
      <c r="Q27" s="826"/>
      <c r="R27" s="826"/>
      <c r="S27" s="826"/>
      <c r="T27" s="826"/>
      <c r="U27" s="826"/>
      <c r="V27" s="392"/>
      <c r="W27" s="392"/>
      <c r="X27" s="392"/>
      <c r="Y27" s="392"/>
      <c r="AA27" s="2478">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78">
        <v>28</v>
      </c>
    </row>
    <row r="29" spans="1:27" s="6" customFormat="1" ht="12" customHeight="1">
      <c r="B29" s="1208" t="s">
        <v>1711</v>
      </c>
      <c r="C29" s="1209"/>
      <c r="D29" s="3443" t="s">
        <v>1684</v>
      </c>
      <c r="E29" s="3444"/>
      <c r="F29" s="207"/>
      <c r="G29" s="207"/>
      <c r="H29" s="791"/>
      <c r="I29" s="1203"/>
      <c r="J29" s="1203"/>
      <c r="K29" s="1203"/>
      <c r="L29" s="1203"/>
      <c r="M29" s="1203"/>
      <c r="O29" s="826"/>
      <c r="P29" s="826"/>
      <c r="Q29" s="826"/>
      <c r="R29" s="826"/>
      <c r="S29" s="826"/>
      <c r="T29" s="826"/>
      <c r="U29" s="826"/>
      <c r="V29" s="10"/>
      <c r="W29" s="10"/>
      <c r="X29" s="10"/>
      <c r="Y29" s="10"/>
      <c r="AA29" s="2478">
        <v>29</v>
      </c>
    </row>
    <row r="30" spans="1:27" s="6" customFormat="1" ht="12" customHeight="1">
      <c r="B30" s="1210" t="s">
        <v>1490</v>
      </c>
      <c r="C30" s="1211"/>
      <c r="D30" s="3426" t="s">
        <v>1684</v>
      </c>
      <c r="E30" s="3427"/>
      <c r="F30" s="208"/>
      <c r="G30" s="208"/>
      <c r="H30" s="790"/>
      <c r="I30" s="1204"/>
      <c r="J30" s="1204"/>
      <c r="K30" s="1204"/>
      <c r="L30" s="1205"/>
      <c r="M30" s="1205"/>
      <c r="O30" s="826"/>
      <c r="P30" s="826"/>
      <c r="Q30" s="826"/>
      <c r="R30" s="826"/>
      <c r="S30" s="826"/>
      <c r="T30" s="826"/>
      <c r="U30" s="826"/>
      <c r="AA30" s="2478">
        <v>30</v>
      </c>
    </row>
    <row r="31" spans="1:27" s="6" customFormat="1" ht="12" customHeight="1">
      <c r="B31" s="1212" t="s">
        <v>1491</v>
      </c>
      <c r="C31" s="1213"/>
      <c r="D31" s="3426" t="s">
        <v>1684</v>
      </c>
      <c r="E31" s="3427"/>
      <c r="F31" s="208"/>
      <c r="G31" s="208"/>
      <c r="H31" s="203"/>
      <c r="I31" s="1204"/>
      <c r="J31" s="1204"/>
      <c r="K31" s="1204"/>
      <c r="L31" s="1205"/>
      <c r="M31" s="1205"/>
      <c r="O31" s="3425" t="s">
        <v>3193</v>
      </c>
      <c r="P31" s="3425"/>
      <c r="Q31" s="3425"/>
      <c r="AA31" s="2478">
        <v>31</v>
      </c>
    </row>
    <row r="32" spans="1:27" s="6" customFormat="1" ht="12" customHeight="1">
      <c r="B32" s="1214" t="s">
        <v>439</v>
      </c>
      <c r="C32" s="1215"/>
      <c r="D32" s="1214" t="s">
        <v>1489</v>
      </c>
      <c r="E32" s="204"/>
      <c r="F32" s="208"/>
      <c r="G32" s="208"/>
      <c r="H32" s="789"/>
      <c r="I32" s="1204"/>
      <c r="J32" s="1204"/>
      <c r="K32" s="1204"/>
      <c r="L32" s="1205"/>
      <c r="M32" s="1205"/>
      <c r="O32" s="3425"/>
      <c r="P32" s="3425"/>
      <c r="Q32" s="3425"/>
      <c r="AA32" s="2478">
        <v>32</v>
      </c>
    </row>
    <row r="33" spans="1:27" s="6" customFormat="1" ht="12" customHeight="1">
      <c r="B33" s="1216" t="s">
        <v>3187</v>
      </c>
      <c r="C33" s="1211"/>
      <c r="D33" s="1210" t="s">
        <v>1489</v>
      </c>
      <c r="E33" s="788"/>
      <c r="F33" s="208"/>
      <c r="G33" s="208"/>
      <c r="H33" s="790"/>
      <c r="I33" s="1204"/>
      <c r="J33" s="1204"/>
      <c r="K33" s="1204"/>
      <c r="L33" s="1205"/>
      <c r="M33" s="1205"/>
      <c r="O33" s="3425"/>
      <c r="P33" s="3425"/>
      <c r="Q33" s="3425"/>
      <c r="AA33" s="2478">
        <v>33</v>
      </c>
    </row>
    <row r="34" spans="1:27" s="6" customFormat="1" ht="12" customHeight="1">
      <c r="B34" s="1216" t="s">
        <v>3188</v>
      </c>
      <c r="C34" s="1211"/>
      <c r="D34" s="1210" t="s">
        <v>1489</v>
      </c>
      <c r="E34" s="788"/>
      <c r="F34" s="208"/>
      <c r="G34" s="208"/>
      <c r="H34" s="790"/>
      <c r="I34" s="1204"/>
      <c r="J34" s="1204"/>
      <c r="K34" s="1204"/>
      <c r="L34" s="1205"/>
      <c r="M34" s="1205"/>
      <c r="O34" s="3425"/>
      <c r="P34" s="3425"/>
      <c r="Q34" s="3425"/>
      <c r="AA34" s="2478">
        <v>34</v>
      </c>
    </row>
    <row r="35" spans="1:27" s="6" customFormat="1" ht="12" customHeight="1">
      <c r="B35" s="1217" t="s">
        <v>3189</v>
      </c>
      <c r="C35" s="1213"/>
      <c r="D35" s="1212" t="s">
        <v>1489</v>
      </c>
      <c r="E35" s="788"/>
      <c r="F35" s="208"/>
      <c r="G35" s="208"/>
      <c r="H35" s="203"/>
      <c r="I35" s="1204"/>
      <c r="J35" s="1204"/>
      <c r="K35" s="1204"/>
      <c r="L35" s="1205"/>
      <c r="M35" s="1205"/>
      <c r="O35" s="3425"/>
      <c r="P35" s="3425"/>
      <c r="Q35" s="3425"/>
      <c r="AA35" s="2478">
        <v>35</v>
      </c>
    </row>
    <row r="36" spans="1:27" s="6" customFormat="1" ht="12" customHeight="1">
      <c r="B36" s="1214" t="s">
        <v>1290</v>
      </c>
      <c r="C36" s="1215"/>
      <c r="D36" s="1220" t="s">
        <v>2992</v>
      </c>
      <c r="E36" s="1202" t="s">
        <v>194</v>
      </c>
      <c r="F36" s="208"/>
      <c r="G36" s="208"/>
      <c r="H36" s="789"/>
      <c r="I36" s="1204"/>
      <c r="J36" s="1204"/>
      <c r="K36" s="1204"/>
      <c r="L36" s="1205"/>
      <c r="M36" s="1205"/>
      <c r="O36" s="3425"/>
      <c r="P36" s="3425"/>
      <c r="Q36" s="3425"/>
      <c r="AA36" s="2478">
        <v>36</v>
      </c>
    </row>
    <row r="37" spans="1:27" s="6" customFormat="1" ht="12" customHeight="1">
      <c r="B37" s="1218" t="s">
        <v>1710</v>
      </c>
      <c r="C37" s="1219"/>
      <c r="D37" s="205"/>
      <c r="E37" s="187"/>
      <c r="F37" s="208"/>
      <c r="G37" s="208"/>
      <c r="H37" s="790"/>
      <c r="I37" s="1204"/>
      <c r="J37" s="1204"/>
      <c r="K37" s="1204"/>
      <c r="L37" s="1205"/>
      <c r="M37" s="1205"/>
      <c r="O37" s="3425"/>
      <c r="P37" s="3425"/>
      <c r="Q37" s="3425"/>
      <c r="AA37" s="2478">
        <v>37</v>
      </c>
    </row>
    <row r="38" spans="1:27" s="6" customFormat="1" ht="12" customHeight="1">
      <c r="B38" s="1218" t="s">
        <v>689</v>
      </c>
      <c r="C38" s="3428"/>
      <c r="D38" s="3429"/>
      <c r="E38" s="3430"/>
      <c r="F38" s="209"/>
      <c r="G38" s="209"/>
      <c r="H38" s="792"/>
      <c r="I38" s="1206"/>
      <c r="J38" s="1206"/>
      <c r="K38" s="1206"/>
      <c r="L38" s="1207"/>
      <c r="M38" s="1207"/>
      <c r="O38" s="3425"/>
      <c r="P38" s="3425"/>
      <c r="Q38" s="3425"/>
      <c r="AA38" s="2478">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5"/>
      <c r="P39" s="3425"/>
      <c r="Q39" s="3425"/>
      <c r="AA39" s="2478">
        <v>39</v>
      </c>
    </row>
    <row r="40" spans="1:27" ht="6" customHeight="1">
      <c r="A40" s="6"/>
      <c r="AA40" s="2478">
        <v>40</v>
      </c>
    </row>
    <row r="41" spans="1:27" s="6" customFormat="1">
      <c r="B41" s="44" t="s">
        <v>2993</v>
      </c>
      <c r="D41"/>
      <c r="E41"/>
      <c r="F41" s="60"/>
      <c r="G41" s="60"/>
      <c r="I41" s="24"/>
      <c r="J41" s="24"/>
      <c r="K41" s="24"/>
      <c r="L41" s="24"/>
      <c r="M41" s="24"/>
      <c r="AA41" s="2478">
        <v>41</v>
      </c>
    </row>
    <row r="42" spans="1:27" s="6" customFormat="1" ht="12" customHeight="1">
      <c r="A42" s="10"/>
      <c r="B42" s="10" t="s">
        <v>529</v>
      </c>
      <c r="M42"/>
      <c r="N42"/>
      <c r="O42"/>
      <c r="P42"/>
      <c r="Q42"/>
      <c r="R42"/>
      <c r="S42"/>
      <c r="AA42" s="2478">
        <v>42</v>
      </c>
    </row>
    <row r="43" spans="1:27" s="6" customFormat="1" ht="49.5" customHeight="1">
      <c r="B43" s="3447" t="s">
        <v>5183</v>
      </c>
      <c r="C43" s="3448"/>
      <c r="D43" s="3448"/>
      <c r="E43" s="3448"/>
      <c r="F43" s="3448"/>
      <c r="G43" s="3448"/>
      <c r="H43" s="3448"/>
      <c r="I43" s="3448"/>
      <c r="J43" s="3448"/>
      <c r="K43" s="3448"/>
      <c r="L43" s="3448"/>
      <c r="M43" s="3449"/>
      <c r="N43"/>
      <c r="O43" s="2908" t="s">
        <v>2445</v>
      </c>
      <c r="P43" s="2908"/>
      <c r="Q43" s="2908"/>
      <c r="R43" s="2908"/>
      <c r="S43" s="2908"/>
      <c r="AA43" s="2478">
        <v>43</v>
      </c>
    </row>
    <row r="44" spans="1:27" s="6" customFormat="1" ht="3" customHeight="1">
      <c r="M44"/>
      <c r="N44"/>
      <c r="O44" s="2908"/>
      <c r="P44" s="2908"/>
      <c r="Q44" s="2908"/>
      <c r="R44" s="2908"/>
      <c r="S44" s="2908"/>
      <c r="AA44" s="2478">
        <v>44</v>
      </c>
    </row>
    <row r="45" spans="1:27" s="6" customFormat="1" ht="12" customHeight="1">
      <c r="A45" s="10"/>
      <c r="B45" s="10" t="s">
        <v>1706</v>
      </c>
      <c r="M45"/>
      <c r="N45"/>
      <c r="O45" s="2908"/>
      <c r="P45" s="2908"/>
      <c r="Q45" s="2908"/>
      <c r="R45" s="2908"/>
      <c r="S45" s="2908"/>
      <c r="AA45" s="2478">
        <v>45</v>
      </c>
    </row>
    <row r="46" spans="1:27" s="6" customFormat="1" ht="24.75" customHeight="1">
      <c r="B46" s="3450"/>
      <c r="C46" s="3451"/>
      <c r="D46" s="3451"/>
      <c r="E46" s="3451"/>
      <c r="F46" s="3451"/>
      <c r="G46" s="3451"/>
      <c r="H46" s="3451"/>
      <c r="I46" s="3451"/>
      <c r="J46" s="3451"/>
      <c r="K46" s="3451"/>
      <c r="L46" s="3451"/>
      <c r="M46" s="3452"/>
      <c r="N46"/>
      <c r="O46" s="2908"/>
      <c r="P46" s="2908"/>
      <c r="Q46" s="2908"/>
      <c r="R46" s="2908"/>
      <c r="S46" s="2908"/>
      <c r="AA46" s="2478">
        <v>46</v>
      </c>
    </row>
    <row r="47" spans="1:27">
      <c r="AA47" s="2478">
        <v>47</v>
      </c>
    </row>
  </sheetData>
  <sheetProtection algorithmName="SHA-512" hashValue="7WY0UDKkxcIO1md3HHoY0oRUSHTOXPIfMNS3ryRbTJ9RsepAMKgsEdDUxcYG7ebDvhadAQSRAV8gi3mpt7y2jA==" saltValue="eJD8iFjI5lspk/0Nd3i1wA=="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3" footer="0.3"/>
  <pageSetup scale="89" orientation="landscape"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CDBDCE-D0CD-4B0F-9785-029D04036B01}">
  <ds:schemaRefs>
    <ds:schemaRef ds:uri="http://schemas.microsoft.com/sharepoint/v3/contenttype/forms"/>
  </ds:schemaRefs>
</ds:datastoreItem>
</file>

<file path=customXml/itemProps2.xml><?xml version="1.0" encoding="utf-8"?>
<ds:datastoreItem xmlns:ds="http://schemas.openxmlformats.org/officeDocument/2006/customXml" ds:itemID="{0C32C77D-AA68-4F46-B793-8A7C2EAA2D1A}"/>
</file>

<file path=customXml/itemProps3.xml><?xml version="1.0" encoding="utf-8"?>
<ds:datastoreItem xmlns:ds="http://schemas.openxmlformats.org/officeDocument/2006/customXml" ds:itemID="{3867A96C-CC17-4F32-B91D-5306B8328D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40</vt:i4>
      </vt:variant>
    </vt:vector>
  </HeadingPairs>
  <TitlesOfParts>
    <vt:vector size="71"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2024-05-16T19:55:26Z</cp:lastPrinted>
  <dcterms:created xsi:type="dcterms:W3CDTF">2005-09-15T20:51:37Z</dcterms:created>
  <dcterms:modified xsi:type="dcterms:W3CDTF">2024-05-17T20:38:10Z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